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 - 2027" sheetId="1" state="visible" r:id="rId3"/>
    <sheet name="Example Child" sheetId="2" state="visible" r:id="rId4"/>
    <sheet name="Afternoon + 2.5" sheetId="3" state="visible" r:id="rId5"/>
  </sheets>
  <definedNames>
    <definedName function="false" hidden="false" localSheetId="0" name="_xlnm.Print_Area" vbProcedure="false">'2026 - 2027'!$A$1:$F$50</definedName>
    <definedName function="false" hidden="false" name="Sessions" vbProcedure="false">'2026 - 2027'!$D$2:$D$6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U2" authorId="0">
      <text>
        <r>
          <rPr>
            <sz val="10"/>
            <rFont val="Arial"/>
            <family val="2"/>
          </rPr>
          <t xml:space="preserve">Source: Cheeky Monkeys at Durrell fee structure, Sept 2026 - Sept 2027, 3-5 Years band. Full Day GBP97.73; Morning/Afternoon GBP52.61 each. Morning+N derived as Morning + N hours at the full-day hourly rate.</t>
        </r>
      </text>
    </comment>
  </commentList>
</comments>
</file>

<file path=xl/sharedStrings.xml><?xml version="1.0" encoding="utf-8"?>
<sst xmlns="http://schemas.openxmlformats.org/spreadsheetml/2006/main" count="230" uniqueCount="71">
  <si>
    <t xml:space="preserve">Child Name</t>
  </si>
  <si>
    <t xml:space="preserve">Child name</t>
  </si>
  <si>
    <t xml:space="preserve">input</t>
  </si>
  <si>
    <t xml:space="preserve">Drop down menu</t>
  </si>
  <si>
    <t xml:space="preserve">Value</t>
  </si>
  <si>
    <t xml:space="preserve">Hours</t>
  </si>
  <si>
    <t xml:space="preserve">Start time</t>
  </si>
  <si>
    <t xml:space="preserve">Finish time</t>
  </si>
  <si>
    <t xml:space="preserve">Notes for use</t>
  </si>
  <si>
    <t xml:space="preserve">25/26</t>
  </si>
  <si>
    <t xml:space="preserve">26/27</t>
  </si>
  <si>
    <t xml:space="preserve">Full Day</t>
  </si>
  <si>
    <t xml:space="preserve">Start Date</t>
  </si>
  <si>
    <t xml:space="preserve">Morning</t>
  </si>
  <si>
    <t xml:space="preserve">White boxes can be edited, grey boxes should not be edited.</t>
  </si>
  <si>
    <t xml:space="preserve">End Date</t>
  </si>
  <si>
    <t xml:space="preserve">Afternoon</t>
  </si>
  <si>
    <t xml:space="preserve">Input child's name.</t>
  </si>
  <si>
    <t xml:space="preserve">Morning + 1 hour</t>
  </si>
  <si>
    <t xml:space="preserve">Input start date (default is school year start).</t>
  </si>
  <si>
    <t xml:space="preserve">Days per week</t>
  </si>
  <si>
    <t xml:space="preserve">Morning + 2 hours</t>
  </si>
  <si>
    <t xml:space="preserve">Input end date (default is school year end).</t>
  </si>
  <si>
    <t xml:space="preserve">Morning + 3 hours</t>
  </si>
  <si>
    <t xml:space="preserve">If start and end are not the same as the school year strip out any holidays that are not appropriate.</t>
  </si>
  <si>
    <t xml:space="preserve">Number of weeks</t>
  </si>
  <si>
    <t xml:space="preserve">Input the number of sessions of each type attended on a weekly basis.</t>
  </si>
  <si>
    <t xml:space="preserve">Less Hols</t>
  </si>
  <si>
    <t xml:space="preserve">The blue monthly invoice box is the amount to bill the parent on a monthly basis for any sessions attended in the school year.</t>
  </si>
  <si>
    <t xml:space="preserve">Number of term weeks</t>
  </si>
  <si>
    <t xml:space="preserve">Number of months</t>
  </si>
  <si>
    <t xml:space="preserve">Important</t>
  </si>
  <si>
    <t xml:space="preserve">Effective rates</t>
  </si>
  <si>
    <t xml:space="preserve">a</t>
  </si>
  <si>
    <t xml:space="preserve">Any sessions attended before or after the school year are to be billed at the standard full rate.</t>
  </si>
  <si>
    <t xml:space="preserve">Max hours funded per week</t>
  </si>
  <si>
    <t xml:space="preserve">b</t>
  </si>
  <si>
    <t xml:space="preserve">If a child changes sessions mid-year or leaves the nursery earlier than originally anticipated a full recalculation of their invocies will be required.</t>
  </si>
  <si>
    <t xml:space="preserve">Min hours funded per day</t>
  </si>
  <si>
    <t xml:space="preserve">Max hours funded per day</t>
  </si>
  <si>
    <t xml:space="preserve">NEF hours adjustment</t>
  </si>
  <si>
    <t xml:space="preserve">Per day</t>
  </si>
  <si>
    <t xml:space="preserve">Per week</t>
  </si>
  <si>
    <t xml:space="preserve">Per Year</t>
  </si>
  <si>
    <t xml:space="preserve">Select session type:</t>
  </si>
  <si>
    <t xml:space="preserve">Check</t>
  </si>
  <si>
    <t xml:space="preserve">No. of sessions attended:</t>
  </si>
  <si>
    <t xml:space="preserve">Session (hours)</t>
  </si>
  <si>
    <t xml:space="preserve">NEF hours available for day</t>
  </si>
  <si>
    <t xml:space="preserve">Value of session</t>
  </si>
  <si>
    <t xml:space="preserve">NEF hours used in day</t>
  </si>
  <si>
    <t xml:space="preserve">Hours to pay by parent</t>
  </si>
  <si>
    <t xml:space="preserve">NEF costs during term</t>
  </si>
  <si>
    <t xml:space="preserve">Weeks outside of term</t>
  </si>
  <si>
    <t xml:space="preserve">Additional hours </t>
  </si>
  <si>
    <t xml:space="preserve">Cost</t>
  </si>
  <si>
    <t xml:space="preserve">Monthly Invoice</t>
  </si>
  <si>
    <t xml:space="preserve">Total Cost</t>
  </si>
  <si>
    <t xml:space="preserve">Adjustment for holidays</t>
  </si>
  <si>
    <t xml:space="preserve">Holidays</t>
  </si>
  <si>
    <t xml:space="preserve">Start date</t>
  </si>
  <si>
    <t xml:space="preserve">Working Days</t>
  </si>
  <si>
    <t xml:space="preserve">Weeks</t>
  </si>
  <si>
    <t xml:space="preserve">Half Term</t>
  </si>
  <si>
    <t xml:space="preserve">Christmas</t>
  </si>
  <si>
    <t xml:space="preserve">Easter</t>
  </si>
  <si>
    <t xml:space="preserve">* 31 May = Bank Holiday</t>
  </si>
  <si>
    <t xml:space="preserve">Less closing for Christmas</t>
  </si>
  <si>
    <t xml:space="preserve">Example Child</t>
  </si>
  <si>
    <t xml:space="preserve">[Child name]</t>
  </si>
  <si>
    <t xml:space="preserve">Afternoon + 2.5 hours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</si>
</sst>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£#,##0.00"/>
    <numFmt numFmtId="166" formatCode="0.00"/>
    <numFmt numFmtId="167" formatCode="h:mm"/>
    <numFmt numFmtId="168" formatCode="dd/mm/yyyy"/>
    <numFmt numFmtId="169" formatCode="0"/>
    <numFmt numFmtId="170" formatCode="0.0000"/>
    <numFmt numFmtId="171" formatCode="_-* #,##0.00_-;\-* #,##0.00_-;_-* \-??_-;_-@_-"/>
    <numFmt numFmtId="172" formatCode="m/d/yyyy"/>
    <numFmt numFmtId="173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i val="true"/>
      <sz val="8"/>
      <color theme="0"/>
      <name val="Calibri"/>
      <family val="2"/>
      <charset val="1"/>
    </font>
    <font>
      <b val="true"/>
      <i val="true"/>
      <sz val="8"/>
      <color theme="1"/>
      <name val="Calibri"/>
      <family val="2"/>
      <charset val="1"/>
    </font>
    <font>
      <b val="true"/>
      <u val="single"/>
      <sz val="11"/>
      <color theme="1"/>
      <name val="Calibri"/>
      <family val="2"/>
      <charset val="1"/>
    </font>
    <font>
      <i val="true"/>
      <sz val="8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8"/>
      <color theme="1"/>
      <name val="Calibri"/>
      <family val="2"/>
      <charset val="1"/>
    </font>
    <font>
      <i val="true"/>
      <sz val="11"/>
      <color theme="1"/>
      <name val="Calibri"/>
      <family val="2"/>
      <charset val="1"/>
    </font>
    <font>
      <i val="true"/>
      <sz val="11"/>
      <name val="Georgia"/>
      <family val="1"/>
      <charset val="1"/>
    </font>
    <font>
      <sz val="11"/>
      <name val="Georgia"/>
      <family val="1"/>
      <charset val="1"/>
    </font>
    <font>
      <b val="true"/>
      <sz val="11"/>
      <name val="Georgia"/>
      <family val="1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4" tint="0.3998"/>
        <bgColor rgb="FFC0C0C0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 style="medium"/>
      <top style="thin"/>
      <bottom style="double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0" fillId="2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71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4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2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2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4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4" fillId="2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3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3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3" fillId="3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73" fontId="13" fillId="3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3" fillId="3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3" fontId="13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2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3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2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</font>
      <fill>
        <patternFill>
          <bgColor theme="5" tint="0.399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true"/>
  </sheetPr>
  <dimension ref="A1:XFC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9.00390625" defaultRowHeight="14.25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20.13"/>
    <col collapsed="false" customWidth="true" hidden="false" outlineLevel="0" max="5" min="5" style="1" width="11.12"/>
    <col collapsed="false" customWidth="true" hidden="false" outlineLevel="0" max="6" min="6" style="1" width="10.53"/>
    <col collapsed="false" customWidth="true" hidden="false" outlineLevel="0" max="12" min="12" style="1" width="6.39"/>
    <col collapsed="false" customWidth="true" hidden="false" outlineLevel="0" max="13" min="13" style="1" width="10.13"/>
    <col collapsed="false" customWidth="true" hidden="false" outlineLevel="0" max="14" min="14" style="1" width="10.53"/>
  </cols>
  <sheetData>
    <row r="1" customFormat="false" ht="15.75" hidden="false" customHeight="tru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J1" s="7" t="s">
        <v>8</v>
      </c>
      <c r="K1" s="7"/>
      <c r="L1" s="7"/>
      <c r="T1" s="8" t="s">
        <v>9</v>
      </c>
      <c r="U1" s="8" t="s">
        <v>10</v>
      </c>
      <c r="XFC1" s="9"/>
    </row>
    <row r="2" customFormat="false" ht="15.75" hidden="false" customHeight="true" outlineLevel="0" collapsed="false">
      <c r="A2" s="10"/>
      <c r="B2" s="10"/>
      <c r="C2" s="11"/>
      <c r="D2" s="12" t="s">
        <v>11</v>
      </c>
      <c r="E2" s="13" t="n">
        <f aca="false">U2</f>
        <v>97.73</v>
      </c>
      <c r="F2" s="14" t="n">
        <f aca="false">(H2-G2)*24</f>
        <v>9.75</v>
      </c>
      <c r="G2" s="15" t="n">
        <v>0.322916666666667</v>
      </c>
      <c r="H2" s="15" t="n">
        <v>0.729166666666667</v>
      </c>
      <c r="T2" s="13" t="n">
        <v>93.975</v>
      </c>
      <c r="U2" s="13" t="n">
        <v>97.73</v>
      </c>
    </row>
    <row r="3" customFormat="false" ht="15.75" hidden="false" customHeight="true" outlineLevel="0" collapsed="false">
      <c r="A3" s="16" t="s">
        <v>12</v>
      </c>
      <c r="B3" s="17" t="n">
        <v>46272</v>
      </c>
      <c r="C3" s="4" t="s">
        <v>2</v>
      </c>
      <c r="D3" s="12" t="s">
        <v>13</v>
      </c>
      <c r="E3" s="13" t="n">
        <f aca="false">U3</f>
        <v>52.61</v>
      </c>
      <c r="F3" s="14" t="n">
        <f aca="false">(H3-G3)*24</f>
        <v>5.25</v>
      </c>
      <c r="G3" s="15" t="n">
        <v>0.322916666666667</v>
      </c>
      <c r="H3" s="15" t="n">
        <v>0.541666666666667</v>
      </c>
      <c r="J3" s="18" t="n">
        <v>1</v>
      </c>
      <c r="K3" s="1" t="s">
        <v>14</v>
      </c>
      <c r="T3" s="13" t="n">
        <v>50.5995</v>
      </c>
      <c r="U3" s="13" t="n">
        <v>52.61</v>
      </c>
    </row>
    <row r="4" customFormat="false" ht="15.75" hidden="false" customHeight="true" outlineLevel="0" collapsed="false">
      <c r="A4" s="2" t="s">
        <v>15</v>
      </c>
      <c r="B4" s="17" t="n">
        <v>46588</v>
      </c>
      <c r="C4" s="4" t="s">
        <v>2</v>
      </c>
      <c r="D4" s="12" t="s">
        <v>16</v>
      </c>
      <c r="E4" s="13" t="n">
        <f aca="false">U4</f>
        <v>52.61</v>
      </c>
      <c r="F4" s="14" t="n">
        <f aca="false">(H4-G4)*24</f>
        <v>4.5</v>
      </c>
      <c r="G4" s="15" t="n">
        <v>0.541666666666667</v>
      </c>
      <c r="H4" s="15" t="n">
        <v>0.729166666666667</v>
      </c>
      <c r="J4" s="18" t="n">
        <v>2</v>
      </c>
      <c r="K4" s="1" t="s">
        <v>17</v>
      </c>
      <c r="T4" s="13" t="n">
        <v>50.5995</v>
      </c>
      <c r="U4" s="13" t="n">
        <v>52.61</v>
      </c>
    </row>
    <row r="5" customFormat="false" ht="15.75" hidden="false" customHeight="true" outlineLevel="0" collapsed="false">
      <c r="A5" s="10"/>
      <c r="B5" s="10"/>
      <c r="C5" s="4"/>
      <c r="D5" s="12" t="s">
        <v>18</v>
      </c>
      <c r="E5" s="13" t="n">
        <f aca="false">U5</f>
        <v>62.6335897435897</v>
      </c>
      <c r="F5" s="14" t="n">
        <f aca="false">F3+1</f>
        <v>6.25</v>
      </c>
      <c r="J5" s="18" t="n">
        <v>3</v>
      </c>
      <c r="K5" s="1" t="s">
        <v>19</v>
      </c>
      <c r="T5" s="13" t="n">
        <v>60.2379615384615</v>
      </c>
      <c r="U5" s="13" t="n">
        <f aca="false">U3+(U2/F2)</f>
        <v>62.6335897435897</v>
      </c>
    </row>
    <row r="6" customFormat="false" ht="15.75" hidden="false" customHeight="true" outlineLevel="0" collapsed="false">
      <c r="A6" s="2" t="s">
        <v>20</v>
      </c>
      <c r="B6" s="19" t="n">
        <f aca="false">B21+C21+D21</f>
        <v>3</v>
      </c>
      <c r="C6" s="4"/>
      <c r="D6" s="12" t="s">
        <v>21</v>
      </c>
      <c r="E6" s="13" t="n">
        <f aca="false">U6</f>
        <v>72.6571794871795</v>
      </c>
      <c r="F6" s="14" t="n">
        <f aca="false">F3+2</f>
        <v>7.25</v>
      </c>
      <c r="G6" s="20"/>
      <c r="H6" s="20"/>
      <c r="J6" s="18" t="n">
        <v>4</v>
      </c>
      <c r="K6" s="1" t="s">
        <v>22</v>
      </c>
      <c r="T6" s="13" t="n">
        <v>69.8755</v>
      </c>
      <c r="U6" s="13" t="n">
        <f aca="false">U3+2*(U2/F2)</f>
        <v>72.6571794871795</v>
      </c>
    </row>
    <row r="7" customFormat="false" ht="14.25" hidden="false" customHeight="true" outlineLevel="0" collapsed="false">
      <c r="A7" s="10"/>
      <c r="B7" s="10"/>
      <c r="C7" s="4"/>
      <c r="D7" s="12" t="s">
        <v>23</v>
      </c>
      <c r="E7" s="13" t="n">
        <f aca="false">U7</f>
        <v>82.6807692307692</v>
      </c>
      <c r="F7" s="14" t="n">
        <f aca="false">F3+3</f>
        <v>8.25</v>
      </c>
      <c r="J7" s="18" t="n">
        <v>5</v>
      </c>
      <c r="K7" s="1" t="s">
        <v>24</v>
      </c>
      <c r="T7" s="13" t="n">
        <v>79.5135</v>
      </c>
      <c r="U7" s="13" t="n">
        <f aca="false">U3+3*(U2/F2)</f>
        <v>82.6807692307692</v>
      </c>
    </row>
    <row r="8" customFormat="false" ht="14.25" hidden="false" customHeight="true" outlineLevel="0" collapsed="false">
      <c r="A8" s="21" t="s">
        <v>25</v>
      </c>
      <c r="B8" s="22" t="n">
        <f aca="false">_xlfn.DAYS(B4-1,B3)/7</f>
        <v>45</v>
      </c>
      <c r="C8" s="4"/>
      <c r="D8" s="23"/>
      <c r="E8" s="24"/>
      <c r="F8" s="24"/>
      <c r="J8" s="18" t="n">
        <v>6</v>
      </c>
      <c r="K8" s="1" t="s">
        <v>26</v>
      </c>
    </row>
    <row r="9" customFormat="false" ht="14.25" hidden="false" customHeight="true" outlineLevel="0" collapsed="false">
      <c r="A9" s="21" t="s">
        <v>27</v>
      </c>
      <c r="B9" s="22" t="n">
        <f aca="false">F45</f>
        <v>7</v>
      </c>
      <c r="C9" s="4"/>
      <c r="D9" s="25"/>
      <c r="E9" s="26"/>
      <c r="F9" s="10"/>
      <c r="J9" s="18" t="n">
        <v>7</v>
      </c>
      <c r="K9" s="1" t="s">
        <v>28</v>
      </c>
    </row>
    <row r="10" customFormat="false" ht="14.25" hidden="false" customHeight="true" outlineLevel="0" collapsed="false">
      <c r="A10" s="21" t="s">
        <v>29</v>
      </c>
      <c r="B10" s="22" t="n">
        <f aca="false">B8-B9</f>
        <v>38</v>
      </c>
      <c r="C10" s="4"/>
      <c r="D10" s="25"/>
      <c r="E10" s="10"/>
      <c r="F10" s="10"/>
    </row>
    <row r="11" customFormat="false" ht="14.25" hidden="false" customHeight="true" outlineLevel="0" collapsed="false">
      <c r="A11" s="21" t="s">
        <v>30</v>
      </c>
      <c r="B11" s="21" t="n">
        <f aca="false">ROUND(SUM((B4-B3)/30),0)</f>
        <v>11</v>
      </c>
      <c r="C11" s="4"/>
      <c r="D11" s="25"/>
      <c r="E11" s="10"/>
      <c r="F11" s="10"/>
      <c r="G11" s="27"/>
      <c r="J11" s="28" t="s">
        <v>31</v>
      </c>
    </row>
    <row r="12" customFormat="false" ht="14.25" hidden="false" customHeight="true" outlineLevel="0" collapsed="false">
      <c r="A12" s="21" t="s">
        <v>32</v>
      </c>
      <c r="B12" s="29" t="n">
        <f aca="false">IFERROR(ROUND(E24/E22,4),0)</f>
        <v>11.0068</v>
      </c>
      <c r="C12" s="4"/>
      <c r="D12" s="25"/>
      <c r="E12" s="10"/>
      <c r="F12" s="10"/>
      <c r="K12" s="30"/>
    </row>
    <row r="13" customFormat="false" ht="14.25" hidden="false" customHeight="true" outlineLevel="0" collapsed="false">
      <c r="A13" s="10"/>
      <c r="B13" s="10"/>
      <c r="C13" s="11"/>
      <c r="D13" s="10"/>
      <c r="E13" s="10"/>
      <c r="F13" s="10"/>
      <c r="J13" s="18" t="s">
        <v>33</v>
      </c>
      <c r="K13" s="1" t="s">
        <v>34</v>
      </c>
    </row>
    <row r="14" customFormat="false" ht="14.25" hidden="false" customHeight="true" outlineLevel="0" collapsed="false">
      <c r="A14" s="21" t="s">
        <v>35</v>
      </c>
      <c r="B14" s="21" t="n">
        <v>30</v>
      </c>
      <c r="C14" s="11"/>
      <c r="D14" s="10"/>
      <c r="E14" s="10"/>
      <c r="F14" s="10"/>
      <c r="J14" s="18" t="s">
        <v>36</v>
      </c>
      <c r="K14" s="1" t="s">
        <v>37</v>
      </c>
    </row>
    <row r="15" customFormat="false" ht="14.25" hidden="false" customHeight="true" outlineLevel="0" collapsed="false">
      <c r="A15" s="21" t="s">
        <v>38</v>
      </c>
      <c r="B15" s="21" t="n">
        <v>4</v>
      </c>
      <c r="C15" s="11"/>
      <c r="D15" s="10"/>
      <c r="E15" s="10"/>
      <c r="F15" s="10"/>
    </row>
    <row r="16" customFormat="false" ht="14.25" hidden="false" customHeight="true" outlineLevel="0" collapsed="false">
      <c r="A16" s="21" t="s">
        <v>39</v>
      </c>
      <c r="B16" s="21" t="n">
        <v>8</v>
      </c>
      <c r="C16" s="11"/>
      <c r="D16" s="10"/>
      <c r="E16" s="10"/>
      <c r="F16" s="10"/>
      <c r="G16" s="18"/>
    </row>
    <row r="17" customFormat="false" ht="14.25" hidden="false" customHeight="true" outlineLevel="0" collapsed="false">
      <c r="A17" s="21" t="s">
        <v>40</v>
      </c>
      <c r="B17" s="29" t="n">
        <f aca="false">E23/B14</f>
        <v>0.508333333333333</v>
      </c>
      <c r="C17" s="4"/>
      <c r="D17" s="25"/>
      <c r="E17" s="10"/>
      <c r="F17" s="10"/>
      <c r="H17" s="30"/>
    </row>
    <row r="18" customFormat="false" ht="14.25" hidden="false" customHeight="true" outlineLevel="0" collapsed="false">
      <c r="A18" s="10"/>
      <c r="B18" s="10"/>
      <c r="C18" s="10"/>
      <c r="D18" s="10"/>
      <c r="E18" s="10"/>
      <c r="F18" s="10"/>
      <c r="L18" s="27"/>
      <c r="M18" s="27"/>
    </row>
    <row r="19" customFormat="false" ht="14.25" hidden="false" customHeight="true" outlineLevel="0" collapsed="false">
      <c r="A19" s="10"/>
      <c r="B19" s="31" t="s">
        <v>41</v>
      </c>
      <c r="C19" s="31" t="s">
        <v>41</v>
      </c>
      <c r="D19" s="31" t="s">
        <v>41</v>
      </c>
      <c r="E19" s="31" t="s">
        <v>42</v>
      </c>
      <c r="F19" s="31" t="s">
        <v>43</v>
      </c>
      <c r="L19" s="27"/>
    </row>
    <row r="20" customFormat="false" ht="14.25" hidden="false" customHeight="true" outlineLevel="0" collapsed="false">
      <c r="A20" s="10" t="s">
        <v>44</v>
      </c>
      <c r="B20" s="32" t="s">
        <v>16</v>
      </c>
      <c r="C20" s="32" t="s">
        <v>18</v>
      </c>
      <c r="D20" s="32" t="s">
        <v>16</v>
      </c>
      <c r="E20" s="31"/>
      <c r="F20" s="31"/>
      <c r="G20" s="33" t="s">
        <v>45</v>
      </c>
      <c r="H20" s="34" t="str">
        <f aca="false">IF(SUM(B21:D21)&gt;5,"Too many sessions, can't attend more than 5 per week","OK")</f>
        <v>OK</v>
      </c>
      <c r="I20" s="34"/>
      <c r="J20" s="34"/>
      <c r="K20" s="34"/>
      <c r="L20" s="27"/>
    </row>
    <row r="21" customFormat="false" ht="14.25" hidden="false" customHeight="true" outlineLevel="0" collapsed="false">
      <c r="A21" s="10" t="s">
        <v>46</v>
      </c>
      <c r="B21" s="35" t="n">
        <v>1</v>
      </c>
      <c r="C21" s="35" t="n">
        <v>1</v>
      </c>
      <c r="D21" s="35" t="n">
        <v>1</v>
      </c>
      <c r="E21" s="36"/>
      <c r="F21" s="36" t="n">
        <f aca="false">B10</f>
        <v>38</v>
      </c>
      <c r="G21" s="33" t="s">
        <v>45</v>
      </c>
      <c r="H21" s="34" t="str">
        <f aca="false">IF(E25&gt;30,"NEF hours must be 30 or lower","OK")</f>
        <v>OK</v>
      </c>
      <c r="I21" s="34"/>
      <c r="J21" s="34"/>
      <c r="K21" s="34"/>
      <c r="L21" s="27"/>
    </row>
    <row r="22" customFormat="false" ht="14.25" hidden="false" customHeight="true" outlineLevel="0" collapsed="false">
      <c r="A22" s="37" t="s">
        <v>47</v>
      </c>
      <c r="B22" s="38" t="n">
        <f aca="false">IFERROR(VLOOKUP(B20,$D$1:$F$7,3,FALSE()),0)</f>
        <v>4.5</v>
      </c>
      <c r="C22" s="38" t="n">
        <f aca="false">IFERROR(VLOOKUP(C20,$D$1:$F$7,3,FALSE()),0)</f>
        <v>6.25</v>
      </c>
      <c r="D22" s="38" t="n">
        <f aca="false">IFERROR(VLOOKUP(D20,$D$1:$F$7,3,FALSE()),0)</f>
        <v>4.5</v>
      </c>
      <c r="E22" s="39" t="n">
        <f aca="false">(B21*B22)+(C21*C22)+(D21*D22)</f>
        <v>15.25</v>
      </c>
      <c r="F22" s="39"/>
    </row>
    <row r="23" customFormat="false" ht="14.25" hidden="false" customHeight="true" outlineLevel="0" collapsed="false">
      <c r="A23" s="10" t="s">
        <v>48</v>
      </c>
      <c r="B23" s="39" t="n">
        <f aca="false">IF(B22=0,0,(IF(AND(B$22&gt;=$B$15,B$22&lt;=$B$16),B$22,$B$16)))</f>
        <v>4.5</v>
      </c>
      <c r="C23" s="39" t="n">
        <f aca="false">IF(C22=0,0,(IF(AND(C$22&gt;=$B$15,C$22&lt;=$B$16),C$22,$B$16)))</f>
        <v>6.25</v>
      </c>
      <c r="D23" s="39" t="n">
        <f aca="false">IF(D22=0,0,(IF(AND(D$22&gt;=$B$15,D$22&lt;=$B$16),D$22,$B$16)))</f>
        <v>4.5</v>
      </c>
      <c r="E23" s="39" t="n">
        <f aca="false">(B21*B23)+(C21*C23)+(D21*D23)</f>
        <v>15.25</v>
      </c>
      <c r="F23" s="39"/>
      <c r="M23" s="27"/>
      <c r="N23" s="27"/>
    </row>
    <row r="24" customFormat="false" ht="14.25" hidden="false" customHeight="true" outlineLevel="0" collapsed="false">
      <c r="A24" s="37" t="s">
        <v>49</v>
      </c>
      <c r="B24" s="38" t="n">
        <f aca="false">IFERROR(VLOOKUP(B20,$D$1:$E$7,2,FALSE()),0)</f>
        <v>52.61</v>
      </c>
      <c r="C24" s="38" t="n">
        <f aca="false">IFERROR(VLOOKUP(C20,$D$1:$E$7,2,FALSE()),0)</f>
        <v>62.6335897435897</v>
      </c>
      <c r="D24" s="38" t="n">
        <f aca="false">IFERROR(VLOOKUP(D20,$D$1:$E$7,2,FALSE()),0)</f>
        <v>52.61</v>
      </c>
      <c r="E24" s="39" t="n">
        <f aca="false">(B21*B24)+(C21*C24)+(D21*D24)</f>
        <v>167.85358974359</v>
      </c>
      <c r="F24" s="39"/>
      <c r="J24" s="30"/>
      <c r="M24" s="27"/>
      <c r="N24" s="27"/>
    </row>
    <row r="25" customFormat="false" ht="14.25" hidden="false" customHeight="true" outlineLevel="0" collapsed="false">
      <c r="A25" s="10" t="s">
        <v>50</v>
      </c>
      <c r="B25" s="39" t="n">
        <f aca="false">IFERROR(IF(B$23/$B$17&gt;B$23,B$23,B$23/$B$17),0)</f>
        <v>4.5</v>
      </c>
      <c r="C25" s="39" t="n">
        <f aca="false">IFERROR(IF(C$23/$B$17&gt;C$23,C$23,C$23/$B$17),0)</f>
        <v>6.25</v>
      </c>
      <c r="D25" s="39" t="n">
        <f aca="false">IFERROR(IF(D$23/$B$17&gt;D$23,D$23,D$23/$B$17),0)</f>
        <v>4.5</v>
      </c>
      <c r="E25" s="39" t="n">
        <f aca="false">(B21*B25)+(C21*C25)+(D21*D25)</f>
        <v>15.25</v>
      </c>
      <c r="F25" s="39"/>
      <c r="M25" s="27"/>
      <c r="N25" s="27"/>
    </row>
    <row r="26" customFormat="false" ht="14.25" hidden="false" customHeight="true" outlineLevel="0" collapsed="false">
      <c r="A26" s="10" t="s">
        <v>51</v>
      </c>
      <c r="B26" s="39" t="n">
        <f aca="false">IF((B22-B25)&gt;0.1,(B22-B25),0)</f>
        <v>0</v>
      </c>
      <c r="C26" s="39" t="n">
        <f aca="false">IF((C22-C25)&gt;0.1,(C22-C25),0)</f>
        <v>0</v>
      </c>
      <c r="D26" s="39" t="n">
        <f aca="false">IF((D22-D25)&gt;0.1,(D22-D25),0)</f>
        <v>0</v>
      </c>
      <c r="E26" s="39" t="n">
        <f aca="false">(B21*B26)+(C21*C26)+(D21*D26)</f>
        <v>0</v>
      </c>
      <c r="F26" s="39" t="n">
        <f aca="false">E26*B10</f>
        <v>0</v>
      </c>
      <c r="J26" s="30"/>
      <c r="M26" s="27"/>
    </row>
    <row r="27" customFormat="false" ht="14.25" hidden="false" customHeight="true" outlineLevel="0" collapsed="false">
      <c r="A27" s="10"/>
      <c r="B27" s="36"/>
      <c r="C27" s="36"/>
      <c r="D27" s="36"/>
      <c r="E27" s="36"/>
      <c r="F27" s="36"/>
      <c r="J27" s="30"/>
    </row>
    <row r="28" customFormat="false" ht="15.75" hidden="false" customHeight="true" outlineLevel="0" collapsed="false">
      <c r="A28" s="37" t="s">
        <v>52</v>
      </c>
      <c r="B28" s="40" t="n">
        <f aca="false">B21*B26*IFERROR(B24/B22,0)</f>
        <v>0</v>
      </c>
      <c r="C28" s="40" t="n">
        <f aca="false">C21*C26*IFERROR(C24/C22,0)</f>
        <v>0</v>
      </c>
      <c r="D28" s="40" t="n">
        <f aca="false">D21*D26*IFERROR(D24/D22,0)</f>
        <v>0</v>
      </c>
      <c r="E28" s="40" t="n">
        <f aca="false">B28+C28+D28</f>
        <v>0</v>
      </c>
      <c r="F28" s="40" t="n">
        <f aca="false">E28*B10</f>
        <v>0</v>
      </c>
      <c r="J28" s="30"/>
    </row>
    <row r="29" customFormat="false" ht="14.25" hidden="false" customHeight="true" outlineLevel="0" collapsed="false">
      <c r="A29" s="10"/>
      <c r="B29" s="36"/>
      <c r="C29" s="36"/>
      <c r="D29" s="36"/>
      <c r="E29" s="36"/>
      <c r="F29" s="36"/>
    </row>
    <row r="30" customFormat="false" ht="14.25" hidden="false" customHeight="true" outlineLevel="0" collapsed="false">
      <c r="A30" s="10" t="s">
        <v>53</v>
      </c>
      <c r="B30" s="36"/>
      <c r="C30" s="36"/>
      <c r="D30" s="36" t="n">
        <f aca="false">F49</f>
        <v>6</v>
      </c>
      <c r="E30" s="36"/>
      <c r="F30" s="36"/>
    </row>
    <row r="31" customFormat="false" ht="14.25" hidden="false" customHeight="true" outlineLevel="0" collapsed="false">
      <c r="A31" s="10" t="s">
        <v>54</v>
      </c>
      <c r="B31" s="36"/>
      <c r="C31" s="36"/>
      <c r="D31" s="36" t="n">
        <f aca="false">E22*D30</f>
        <v>91.5</v>
      </c>
      <c r="E31" s="10"/>
      <c r="F31" s="10"/>
      <c r="J31" s="30"/>
      <c r="K31" s="30"/>
      <c r="L31" s="30"/>
      <c r="M31" s="30"/>
      <c r="N31" s="30"/>
    </row>
    <row r="32" customFormat="false" ht="14.25" hidden="false" customHeight="true" outlineLevel="0" collapsed="false">
      <c r="A32" s="10" t="s">
        <v>55</v>
      </c>
      <c r="B32" s="36"/>
      <c r="C32" s="36"/>
      <c r="D32" s="36" t="n">
        <f aca="false">D31*B12</f>
        <v>1007.1222</v>
      </c>
      <c r="E32" s="10"/>
      <c r="F32" s="10"/>
    </row>
    <row r="33" customFormat="false" ht="15.75" hidden="false" customHeight="true" outlineLevel="0" collapsed="false">
      <c r="A33" s="10"/>
      <c r="B33" s="36"/>
      <c r="C33" s="36"/>
      <c r="D33" s="36"/>
      <c r="E33" s="10"/>
      <c r="F33" s="41" t="s">
        <v>56</v>
      </c>
    </row>
    <row r="34" customFormat="false" ht="15.75" hidden="false" customHeight="true" outlineLevel="0" collapsed="false">
      <c r="A34" s="37" t="s">
        <v>57</v>
      </c>
      <c r="B34" s="42"/>
      <c r="C34" s="42"/>
      <c r="D34" s="42" t="n">
        <f aca="false">F28+D32</f>
        <v>1007.1222</v>
      </c>
      <c r="E34" s="43"/>
      <c r="F34" s="44" t="n">
        <f aca="false">ROUND(D34/B11,2)</f>
        <v>91.56</v>
      </c>
    </row>
    <row r="35" customFormat="false" ht="15.75" hidden="false" customHeight="true" outlineLevel="0" collapsed="false">
      <c r="A35" s="10"/>
      <c r="B35" s="10"/>
      <c r="C35" s="10"/>
      <c r="D35" s="10"/>
      <c r="E35" s="10"/>
      <c r="F35" s="10"/>
    </row>
    <row r="36" customFormat="false" ht="14.25" hidden="false" customHeight="true" outlineLevel="0" collapsed="false">
      <c r="A36" s="45" t="s">
        <v>58</v>
      </c>
      <c r="B36" s="46"/>
      <c r="C36" s="46"/>
      <c r="D36" s="46"/>
      <c r="E36" s="46"/>
      <c r="F36" s="47"/>
    </row>
    <row r="37" customFormat="false" ht="14.25" hidden="false" customHeight="true" outlineLevel="0" collapsed="false">
      <c r="A37" s="48" t="s">
        <v>59</v>
      </c>
      <c r="B37" s="49" t="s">
        <v>60</v>
      </c>
      <c r="C37" s="49" t="s">
        <v>15</v>
      </c>
      <c r="D37" s="50" t="s">
        <v>61</v>
      </c>
      <c r="E37" s="49"/>
      <c r="F37" s="51" t="s">
        <v>62</v>
      </c>
    </row>
    <row r="38" customFormat="false" ht="14.25" hidden="false" customHeight="true" outlineLevel="0" collapsed="false">
      <c r="A38" s="52"/>
      <c r="B38" s="53"/>
      <c r="C38" s="53"/>
      <c r="D38" s="54"/>
      <c r="E38" s="54"/>
      <c r="F38" s="55"/>
    </row>
    <row r="39" customFormat="false" ht="14.25" hidden="false" customHeight="true" outlineLevel="0" collapsed="false">
      <c r="A39" s="52" t="s">
        <v>63</v>
      </c>
      <c r="B39" s="56" t="n">
        <v>46321</v>
      </c>
      <c r="C39" s="56" t="n">
        <v>46325</v>
      </c>
      <c r="D39" s="57" t="n">
        <f aca="false">NETWORKDAYS(B39,C39+1)</f>
        <v>5</v>
      </c>
      <c r="E39" s="57"/>
      <c r="F39" s="58" t="n">
        <f aca="false">D39/5</f>
        <v>1</v>
      </c>
    </row>
    <row r="40" customFormat="false" ht="14.25" hidden="false" customHeight="true" outlineLevel="0" collapsed="false">
      <c r="A40" s="52" t="s">
        <v>64</v>
      </c>
      <c r="B40" s="56" t="n">
        <v>46374</v>
      </c>
      <c r="C40" s="56" t="n">
        <v>46388</v>
      </c>
      <c r="D40" s="57" t="n">
        <f aca="false">NETWORKDAYS(B40,C40-1)</f>
        <v>10</v>
      </c>
      <c r="E40" s="57"/>
      <c r="F40" s="58" t="n">
        <f aca="false">D40/5</f>
        <v>2</v>
      </c>
    </row>
    <row r="41" customFormat="false" ht="14.25" hidden="false" customHeight="true" outlineLevel="0" collapsed="false">
      <c r="A41" s="52" t="s">
        <v>63</v>
      </c>
      <c r="B41" s="56" t="n">
        <v>46426</v>
      </c>
      <c r="C41" s="56" t="n">
        <v>46430</v>
      </c>
      <c r="D41" s="57" t="n">
        <f aca="false">NETWORKDAYS(B41,C41+1)</f>
        <v>5</v>
      </c>
      <c r="E41" s="57"/>
      <c r="F41" s="58" t="n">
        <f aca="false">D41/5</f>
        <v>1</v>
      </c>
    </row>
    <row r="42" customFormat="false" ht="14.25" hidden="false" customHeight="true" outlineLevel="0" collapsed="false">
      <c r="A42" s="52" t="s">
        <v>65</v>
      </c>
      <c r="B42" s="56" t="n">
        <v>46472</v>
      </c>
      <c r="C42" s="56" t="n">
        <v>46486</v>
      </c>
      <c r="D42" s="57" t="n">
        <f aca="false">NETWORKDAYS(B42,C42-1)</f>
        <v>10</v>
      </c>
      <c r="E42" s="57"/>
      <c r="F42" s="58" t="n">
        <f aca="false">D42/5</f>
        <v>2</v>
      </c>
    </row>
    <row r="43" customFormat="false" ht="14.25" hidden="false" customHeight="true" outlineLevel="0" collapsed="false">
      <c r="A43" s="52" t="s">
        <v>63</v>
      </c>
      <c r="B43" s="56" t="n">
        <v>46538</v>
      </c>
      <c r="C43" s="56" t="n">
        <v>46542</v>
      </c>
      <c r="D43" s="57" t="n">
        <f aca="false">NETWORKDAYS(B43,C43+1)</f>
        <v>5</v>
      </c>
      <c r="E43" s="57"/>
      <c r="F43" s="58" t="n">
        <f aca="false">D43/5</f>
        <v>1</v>
      </c>
    </row>
    <row r="44" customFormat="false" ht="14.25" hidden="false" customHeight="true" outlineLevel="0" collapsed="false">
      <c r="A44" s="52" t="s">
        <v>66</v>
      </c>
      <c r="B44" s="53"/>
      <c r="C44" s="53"/>
      <c r="D44" s="54"/>
      <c r="E44" s="54"/>
      <c r="F44" s="55"/>
    </row>
    <row r="45" customFormat="false" ht="14.25" hidden="false" customHeight="true" outlineLevel="0" collapsed="false">
      <c r="A45" s="52"/>
      <c r="B45" s="54"/>
      <c r="C45" s="54"/>
      <c r="D45" s="59" t="n">
        <f aca="false">SUM(D39:D43)</f>
        <v>35</v>
      </c>
      <c r="E45" s="54"/>
      <c r="F45" s="60" t="n">
        <f aca="false">SUM(F39:F43)</f>
        <v>7</v>
      </c>
    </row>
    <row r="46" customFormat="false" ht="14.25" hidden="false" customHeight="true" outlineLevel="0" collapsed="false">
      <c r="A46" s="52"/>
      <c r="B46" s="54"/>
      <c r="C46" s="54"/>
      <c r="D46" s="54"/>
      <c r="E46" s="54"/>
      <c r="F46" s="55"/>
    </row>
    <row r="47" customFormat="false" ht="14.25" hidden="false" customHeight="true" outlineLevel="0" collapsed="false">
      <c r="A47" s="61" t="s">
        <v>67</v>
      </c>
      <c r="B47" s="56" t="n">
        <v>46377</v>
      </c>
      <c r="C47" s="56" t="n">
        <v>46381</v>
      </c>
      <c r="D47" s="57" t="n">
        <f aca="false">-NETWORKDAYS(B47,C47)</f>
        <v>-5</v>
      </c>
      <c r="E47" s="57"/>
      <c r="F47" s="58" t="n">
        <f aca="false">D47/5</f>
        <v>-1</v>
      </c>
    </row>
    <row r="48" customFormat="false" ht="14.25" hidden="false" customHeight="true" outlineLevel="0" collapsed="false">
      <c r="A48" s="61"/>
      <c r="B48" s="54"/>
      <c r="C48" s="54"/>
      <c r="D48" s="54"/>
      <c r="E48" s="54"/>
      <c r="F48" s="55"/>
    </row>
    <row r="49" customFormat="false" ht="15.75" hidden="false" customHeight="true" outlineLevel="0" collapsed="false">
      <c r="A49" s="61"/>
      <c r="B49" s="54"/>
      <c r="C49" s="54"/>
      <c r="D49" s="62" t="n">
        <f aca="false">D45+D47</f>
        <v>30</v>
      </c>
      <c r="E49" s="54"/>
      <c r="F49" s="63" t="n">
        <f aca="false">SUM(F45:F47)</f>
        <v>6</v>
      </c>
    </row>
    <row r="50" customFormat="false" ht="16.5" hidden="false" customHeight="true" outlineLevel="0" collapsed="false">
      <c r="A50" s="64"/>
      <c r="B50" s="65"/>
      <c r="C50" s="65"/>
      <c r="D50" s="65"/>
      <c r="E50" s="65"/>
      <c r="F50" s="66"/>
    </row>
  </sheetData>
  <mergeCells count="3">
    <mergeCell ref="J1:L1"/>
    <mergeCell ref="H20:K20"/>
    <mergeCell ref="H21:K21"/>
  </mergeCells>
  <conditionalFormatting sqref="H20:H21">
    <cfRule type="cellIs" priority="2" operator="notEqual" aboveAverage="0" equalAverage="0" bottom="0" percent="0" rank="0" text="" dxfId="0">
      <formula>"OK"</formula>
    </cfRule>
  </conditionalFormatting>
  <dataValidations count="2">
    <dataValidation allowBlank="true" errorStyle="stop" operator="between" showDropDown="false" showErrorMessage="true" showInputMessage="true" sqref="B20:D20" type="list">
      <formula1>$D$2:$D$7</formula1>
      <formula2>0</formula2>
    </dataValidation>
    <dataValidation allowBlank="true" errorStyle="stop" operator="between" showDropDown="false" showErrorMessage="true" showInputMessage="true" sqref="B21:D21" type="list">
      <formula1>"0,1,2,3,4,5"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C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9.00390625" defaultRowHeight="14.25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20.13"/>
    <col collapsed="false" customWidth="true" hidden="false" outlineLevel="0" max="5" min="5" style="1" width="11.12"/>
    <col collapsed="false" customWidth="true" hidden="false" outlineLevel="0" max="6" min="6" style="1" width="10.53"/>
    <col collapsed="false" customWidth="true" hidden="false" outlineLevel="0" max="12" min="12" style="1" width="10.4"/>
    <col collapsed="false" customWidth="true" hidden="false" outlineLevel="0" max="13" min="13" style="1" width="9.86"/>
    <col collapsed="false" customWidth="true" hidden="false" outlineLevel="0" max="14" min="14" style="1" width="12.26"/>
  </cols>
  <sheetData>
    <row r="1" customFormat="false" ht="15.75" hidden="false" customHeight="true" outlineLevel="0" collapsed="false">
      <c r="A1" s="2" t="s">
        <v>0</v>
      </c>
      <c r="B1" s="3" t="s">
        <v>68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J1" s="7" t="s">
        <v>8</v>
      </c>
      <c r="K1" s="7"/>
      <c r="L1" s="7"/>
      <c r="Q1" s="8"/>
      <c r="R1" s="8"/>
      <c r="XFC1" s="9"/>
    </row>
    <row r="2" customFormat="false" ht="15.75" hidden="false" customHeight="true" outlineLevel="0" collapsed="false">
      <c r="A2" s="10"/>
      <c r="B2" s="10"/>
      <c r="C2" s="11"/>
      <c r="D2" s="12" t="s">
        <v>11</v>
      </c>
      <c r="E2" s="13" t="n">
        <v>97.73</v>
      </c>
      <c r="F2" s="14" t="n">
        <f aca="false">(H2-G2)*24</f>
        <v>9.75</v>
      </c>
      <c r="G2" s="15" t="n">
        <v>0.322916666666667</v>
      </c>
      <c r="H2" s="15" t="n">
        <v>0.729166666666667</v>
      </c>
      <c r="Q2" s="67"/>
      <c r="R2" s="67"/>
    </row>
    <row r="3" customFormat="false" ht="15.75" hidden="false" customHeight="true" outlineLevel="0" collapsed="false">
      <c r="A3" s="16" t="s">
        <v>12</v>
      </c>
      <c r="B3" s="17" t="n">
        <v>46272</v>
      </c>
      <c r="C3" s="4" t="s">
        <v>2</v>
      </c>
      <c r="D3" s="12" t="s">
        <v>13</v>
      </c>
      <c r="E3" s="13" t="n">
        <v>52.61</v>
      </c>
      <c r="F3" s="14" t="n">
        <f aca="false">(H3-G3)*24</f>
        <v>5.25</v>
      </c>
      <c r="G3" s="15" t="n">
        <v>0.322916666666667</v>
      </c>
      <c r="H3" s="15" t="n">
        <v>0.541666666666667</v>
      </c>
      <c r="J3" s="18" t="n">
        <v>1</v>
      </c>
      <c r="K3" s="1" t="s">
        <v>14</v>
      </c>
      <c r="Q3" s="67"/>
      <c r="R3" s="67"/>
    </row>
    <row r="4" customFormat="false" ht="15.75" hidden="false" customHeight="true" outlineLevel="0" collapsed="false">
      <c r="A4" s="2" t="s">
        <v>15</v>
      </c>
      <c r="B4" s="17" t="n">
        <v>46588</v>
      </c>
      <c r="C4" s="4" t="s">
        <v>2</v>
      </c>
      <c r="D4" s="12" t="s">
        <v>16</v>
      </c>
      <c r="E4" s="13" t="n">
        <v>52.61</v>
      </c>
      <c r="F4" s="14" t="n">
        <f aca="false">(H4-G4)*24</f>
        <v>4.5</v>
      </c>
      <c r="G4" s="15" t="n">
        <v>0.541666666666667</v>
      </c>
      <c r="H4" s="15" t="n">
        <v>0.729166666666667</v>
      </c>
      <c r="J4" s="18" t="n">
        <v>2</v>
      </c>
      <c r="K4" s="1" t="s">
        <v>17</v>
      </c>
      <c r="Q4" s="67"/>
      <c r="R4" s="67"/>
    </row>
    <row r="5" customFormat="false" ht="15.75" hidden="false" customHeight="true" outlineLevel="0" collapsed="false">
      <c r="A5" s="10"/>
      <c r="B5" s="10"/>
      <c r="C5" s="4"/>
      <c r="D5" s="12" t="s">
        <v>18</v>
      </c>
      <c r="E5" s="13" t="n">
        <f aca="false">E3+(E2/F2)</f>
        <v>62.6335897435897</v>
      </c>
      <c r="F5" s="14" t="n">
        <f aca="false">F3+1</f>
        <v>6.25</v>
      </c>
      <c r="J5" s="18" t="n">
        <v>3</v>
      </c>
      <c r="K5" s="1" t="s">
        <v>19</v>
      </c>
      <c r="Q5" s="67"/>
      <c r="R5" s="67"/>
    </row>
    <row r="6" customFormat="false" ht="15.75" hidden="false" customHeight="true" outlineLevel="0" collapsed="false">
      <c r="A6" s="2" t="s">
        <v>20</v>
      </c>
      <c r="B6" s="19" t="n">
        <f aca="false">B21+C21+D21</f>
        <v>3</v>
      </c>
      <c r="C6" s="4"/>
      <c r="D6" s="12" t="s">
        <v>21</v>
      </c>
      <c r="E6" s="13" t="n">
        <f aca="false">E3+2*(E2/F2)</f>
        <v>72.6571794871795</v>
      </c>
      <c r="F6" s="14" t="n">
        <f aca="false">F3+2</f>
        <v>7.25</v>
      </c>
      <c r="G6" s="20"/>
      <c r="H6" s="20"/>
      <c r="J6" s="18" t="n">
        <v>4</v>
      </c>
      <c r="K6" s="1" t="s">
        <v>22</v>
      </c>
      <c r="Q6" s="67"/>
      <c r="R6" s="67"/>
    </row>
    <row r="7" customFormat="false" ht="14.25" hidden="false" customHeight="true" outlineLevel="0" collapsed="false">
      <c r="A7" s="10"/>
      <c r="B7" s="10"/>
      <c r="C7" s="4"/>
      <c r="D7" s="12" t="s">
        <v>23</v>
      </c>
      <c r="E7" s="13" t="n">
        <f aca="false">E3+3*(E2/F2)</f>
        <v>82.6807692307692</v>
      </c>
      <c r="F7" s="14" t="n">
        <f aca="false">F3+3</f>
        <v>8.25</v>
      </c>
      <c r="J7" s="18" t="n">
        <v>5</v>
      </c>
      <c r="K7" s="1" t="s">
        <v>24</v>
      </c>
      <c r="Q7" s="67"/>
      <c r="R7" s="67"/>
    </row>
    <row r="8" customFormat="false" ht="14.25" hidden="false" customHeight="true" outlineLevel="0" collapsed="false">
      <c r="A8" s="21" t="s">
        <v>25</v>
      </c>
      <c r="B8" s="22" t="n">
        <f aca="false">_xlfn.DAYS(B4-1,B3)/7</f>
        <v>45</v>
      </c>
      <c r="C8" s="4"/>
      <c r="D8" s="23"/>
      <c r="E8" s="24"/>
      <c r="F8" s="24"/>
      <c r="J8" s="18" t="n">
        <v>6</v>
      </c>
      <c r="K8" s="1" t="s">
        <v>26</v>
      </c>
    </row>
    <row r="9" customFormat="false" ht="14.25" hidden="false" customHeight="true" outlineLevel="0" collapsed="false">
      <c r="A9" s="21" t="s">
        <v>27</v>
      </c>
      <c r="B9" s="22" t="n">
        <f aca="false">F45</f>
        <v>7</v>
      </c>
      <c r="C9" s="4"/>
      <c r="D9" s="25"/>
      <c r="E9" s="26"/>
      <c r="F9" s="10"/>
      <c r="J9" s="18" t="n">
        <v>7</v>
      </c>
      <c r="K9" s="1" t="s">
        <v>28</v>
      </c>
    </row>
    <row r="10" customFormat="false" ht="14.25" hidden="false" customHeight="true" outlineLevel="0" collapsed="false">
      <c r="A10" s="21" t="s">
        <v>29</v>
      </c>
      <c r="B10" s="22" t="n">
        <f aca="false">B8-B9</f>
        <v>38</v>
      </c>
      <c r="C10" s="4"/>
      <c r="D10" s="25"/>
      <c r="E10" s="10"/>
      <c r="F10" s="10"/>
    </row>
    <row r="11" customFormat="false" ht="14.25" hidden="false" customHeight="true" outlineLevel="0" collapsed="false">
      <c r="A11" s="21" t="s">
        <v>30</v>
      </c>
      <c r="B11" s="21" t="n">
        <f aca="false">ROUND(SUM((B4-B3)/30),0)</f>
        <v>11</v>
      </c>
      <c r="C11" s="4"/>
      <c r="D11" s="25"/>
      <c r="E11" s="10"/>
      <c r="F11" s="10"/>
      <c r="G11" s="27"/>
      <c r="J11" s="28" t="s">
        <v>31</v>
      </c>
    </row>
    <row r="12" customFormat="false" ht="14.25" hidden="false" customHeight="true" outlineLevel="0" collapsed="false">
      <c r="A12" s="21" t="s">
        <v>32</v>
      </c>
      <c r="B12" s="29" t="n">
        <f aca="false">IFERROR(ROUND(E24/E22,4),0)</f>
        <v>10.0236</v>
      </c>
      <c r="C12" s="4"/>
      <c r="D12" s="25"/>
      <c r="E12" s="10"/>
      <c r="F12" s="10"/>
      <c r="K12" s="30"/>
    </row>
    <row r="13" customFormat="false" ht="14.25" hidden="false" customHeight="true" outlineLevel="0" collapsed="false">
      <c r="A13" s="10"/>
      <c r="B13" s="10"/>
      <c r="C13" s="11"/>
      <c r="D13" s="10"/>
      <c r="E13" s="10"/>
      <c r="F13" s="10"/>
      <c r="J13" s="18" t="s">
        <v>33</v>
      </c>
      <c r="K13" s="1" t="s">
        <v>34</v>
      </c>
    </row>
    <row r="14" customFormat="false" ht="14.25" hidden="false" customHeight="true" outlineLevel="0" collapsed="false">
      <c r="A14" s="21" t="s">
        <v>35</v>
      </c>
      <c r="B14" s="21" t="n">
        <v>30</v>
      </c>
      <c r="C14" s="11"/>
      <c r="D14" s="10"/>
      <c r="E14" s="10"/>
      <c r="F14" s="10"/>
      <c r="J14" s="18" t="s">
        <v>36</v>
      </c>
      <c r="K14" s="1" t="s">
        <v>37</v>
      </c>
    </row>
    <row r="15" customFormat="false" ht="14.25" hidden="false" customHeight="true" outlineLevel="0" collapsed="false">
      <c r="A15" s="21" t="s">
        <v>38</v>
      </c>
      <c r="B15" s="21" t="n">
        <v>4</v>
      </c>
      <c r="C15" s="11"/>
      <c r="D15" s="10"/>
      <c r="E15" s="10"/>
      <c r="F15" s="10"/>
    </row>
    <row r="16" customFormat="false" ht="14.25" hidden="false" customHeight="true" outlineLevel="0" collapsed="false">
      <c r="A16" s="21" t="s">
        <v>39</v>
      </c>
      <c r="B16" s="21" t="n">
        <v>8</v>
      </c>
      <c r="C16" s="11"/>
      <c r="D16" s="10"/>
      <c r="E16" s="10"/>
      <c r="F16" s="10"/>
      <c r="G16" s="18"/>
    </row>
    <row r="17" customFormat="false" ht="14.25" hidden="false" customHeight="true" outlineLevel="0" collapsed="false">
      <c r="A17" s="21" t="s">
        <v>40</v>
      </c>
      <c r="B17" s="29" t="n">
        <f aca="false">E23/B14</f>
        <v>0.8</v>
      </c>
      <c r="C17" s="4"/>
      <c r="D17" s="25"/>
      <c r="E17" s="10"/>
      <c r="F17" s="10"/>
      <c r="H17" s="30"/>
    </row>
    <row r="18" customFormat="false" ht="14.25" hidden="false" customHeight="true" outlineLevel="0" collapsed="false">
      <c r="A18" s="10"/>
      <c r="B18" s="10"/>
      <c r="C18" s="10"/>
      <c r="D18" s="10"/>
      <c r="E18" s="10"/>
      <c r="F18" s="10"/>
      <c r="L18" s="27"/>
      <c r="M18" s="27"/>
    </row>
    <row r="19" customFormat="false" ht="14.25" hidden="false" customHeight="true" outlineLevel="0" collapsed="false">
      <c r="A19" s="10"/>
      <c r="B19" s="31" t="s">
        <v>41</v>
      </c>
      <c r="C19" s="31" t="s">
        <v>41</v>
      </c>
      <c r="D19" s="31" t="s">
        <v>41</v>
      </c>
      <c r="E19" s="31" t="s">
        <v>42</v>
      </c>
      <c r="F19" s="31" t="s">
        <v>43</v>
      </c>
      <c r="L19" s="27"/>
    </row>
    <row r="20" customFormat="false" ht="14.25" hidden="false" customHeight="true" outlineLevel="0" collapsed="false">
      <c r="A20" s="10" t="s">
        <v>44</v>
      </c>
      <c r="B20" s="32" t="s">
        <v>11</v>
      </c>
      <c r="C20" s="32"/>
      <c r="D20" s="32"/>
      <c r="E20" s="31"/>
      <c r="F20" s="31"/>
      <c r="G20" s="33" t="s">
        <v>45</v>
      </c>
      <c r="H20" s="34" t="str">
        <f aca="false">IF(SUM(B21:D21)&gt;5,"Too many sessions, can't attend more than 5 per week","OK")</f>
        <v>OK</v>
      </c>
      <c r="I20" s="34"/>
      <c r="J20" s="34"/>
      <c r="K20" s="34"/>
      <c r="L20" s="27"/>
    </row>
    <row r="21" customFormat="false" ht="14.25" hidden="false" customHeight="true" outlineLevel="0" collapsed="false">
      <c r="A21" s="10" t="s">
        <v>46</v>
      </c>
      <c r="B21" s="35" t="n">
        <v>3</v>
      </c>
      <c r="C21" s="35"/>
      <c r="D21" s="35"/>
      <c r="E21" s="36"/>
      <c r="F21" s="36" t="n">
        <f aca="false">B10</f>
        <v>38</v>
      </c>
      <c r="G21" s="33" t="s">
        <v>45</v>
      </c>
      <c r="H21" s="34" t="str">
        <f aca="false">IF(E25&gt;30,"NEF hours must be 30 or lower","OK")</f>
        <v>OK</v>
      </c>
      <c r="I21" s="34"/>
      <c r="J21" s="34"/>
      <c r="K21" s="34"/>
      <c r="L21" s="27"/>
    </row>
    <row r="22" customFormat="false" ht="14.25" hidden="false" customHeight="true" outlineLevel="0" collapsed="false">
      <c r="A22" s="37" t="s">
        <v>47</v>
      </c>
      <c r="B22" s="38" t="n">
        <f aca="false">IFERROR(VLOOKUP(B20,$D$1:$F$7,3,FALSE()),0)</f>
        <v>9.75</v>
      </c>
      <c r="C22" s="38" t="n">
        <f aca="false">IFERROR(VLOOKUP(C20,$D$1:$F$7,3,FALSE()),0)</f>
        <v>0</v>
      </c>
      <c r="D22" s="38" t="n">
        <f aca="false">IFERROR(VLOOKUP(D20,$D$1:$F$7,3,FALSE()),0)</f>
        <v>0</v>
      </c>
      <c r="E22" s="39" t="n">
        <f aca="false">(B21*B22)+(C21*C22)+(D21*D22)</f>
        <v>29.25</v>
      </c>
      <c r="F22" s="39"/>
      <c r="K22" s="68"/>
    </row>
    <row r="23" customFormat="false" ht="14.25" hidden="false" customHeight="true" outlineLevel="0" collapsed="false">
      <c r="A23" s="10" t="s">
        <v>48</v>
      </c>
      <c r="B23" s="39" t="n">
        <f aca="false">IF(B22=0,0,(IF(AND(B$22&gt;=$B$15,B$22&lt;=$B$16),B$22,$B$16)))</f>
        <v>8</v>
      </c>
      <c r="C23" s="39" t="n">
        <f aca="false">IF(C22=0,0,(IF(AND(C$22&gt;=$B$15,C$22&lt;=$B$16),C$22,$B$16)))</f>
        <v>0</v>
      </c>
      <c r="D23" s="39" t="n">
        <f aca="false">IF(D22=0,0,(IF(AND(D$22&gt;=$B$15,D$22&lt;=$B$16),D$22,$B$16)))</f>
        <v>0</v>
      </c>
      <c r="E23" s="39" t="n">
        <f aca="false">(B21*B23)+(C21*C23)+(D21*D23)</f>
        <v>24</v>
      </c>
      <c r="F23" s="39"/>
      <c r="K23" s="68"/>
      <c r="L23" s="8"/>
      <c r="M23" s="69"/>
      <c r="N23" s="69"/>
      <c r="O23" s="8"/>
      <c r="P23" s="68"/>
    </row>
    <row r="24" customFormat="false" ht="14.25" hidden="false" customHeight="true" outlineLevel="0" collapsed="false">
      <c r="A24" s="37" t="s">
        <v>49</v>
      </c>
      <c r="B24" s="38" t="n">
        <f aca="false">IFERROR(VLOOKUP(B20,$D$1:$E$7,2,FALSE()),0)</f>
        <v>97.73</v>
      </c>
      <c r="C24" s="38" t="n">
        <f aca="false">IFERROR(VLOOKUP(C20,$D$1:$E$7,2,FALSE()),0)</f>
        <v>0</v>
      </c>
      <c r="D24" s="38" t="n">
        <f aca="false">IFERROR(VLOOKUP(D20,$D$1:$E$7,2,FALSE()),0)</f>
        <v>0</v>
      </c>
      <c r="E24" s="39" t="n">
        <f aca="false">(B21*B24)+(C21*C24)+(D21*D24)</f>
        <v>293.19</v>
      </c>
      <c r="F24" s="39"/>
      <c r="J24" s="30"/>
      <c r="L24" s="27"/>
      <c r="M24" s="27"/>
      <c r="N24" s="27"/>
      <c r="O24" s="27"/>
      <c r="P24" s="27"/>
    </row>
    <row r="25" customFormat="false" ht="14.25" hidden="false" customHeight="true" outlineLevel="0" collapsed="false">
      <c r="A25" s="10" t="s">
        <v>50</v>
      </c>
      <c r="B25" s="39" t="n">
        <f aca="false">IFERROR(IF(B$23/$B$17&gt;B$23,B$23,B$23/$B$17),0)</f>
        <v>8</v>
      </c>
      <c r="C25" s="39" t="n">
        <f aca="false">IFERROR(IF(C$23/$B$17&gt;C$23,C$23,C$23/$B$17),0)</f>
        <v>0</v>
      </c>
      <c r="D25" s="39" t="n">
        <f aca="false">IFERROR(IF(D$23/$B$17&gt;D$23,D$23,D$23/$B$17),0)</f>
        <v>0</v>
      </c>
      <c r="E25" s="39" t="n">
        <f aca="false">(B21*B25)+(C21*C25)+(D21*D25)</f>
        <v>24</v>
      </c>
      <c r="F25" s="39"/>
      <c r="L25" s="27"/>
      <c r="M25" s="27"/>
      <c r="N25" s="27"/>
      <c r="O25" s="27"/>
      <c r="P25" s="27"/>
    </row>
    <row r="26" customFormat="false" ht="14.25" hidden="false" customHeight="true" outlineLevel="0" collapsed="false">
      <c r="A26" s="10" t="s">
        <v>51</v>
      </c>
      <c r="B26" s="39" t="n">
        <f aca="false">IF((B22-B25)&gt;0.1,(B22-B25),0)</f>
        <v>1.75</v>
      </c>
      <c r="C26" s="39" t="n">
        <f aca="false">IF((C22-C25)&gt;0.1,(C22-C25),0)</f>
        <v>0</v>
      </c>
      <c r="D26" s="39" t="n">
        <f aca="false">IF((D22-D25)&gt;0.1,(D22-D25),0)</f>
        <v>0</v>
      </c>
      <c r="E26" s="39" t="n">
        <f aca="false">(B21*B26)+(C21*C26)+(D21*D26)</f>
        <v>5.25</v>
      </c>
      <c r="F26" s="39" t="n">
        <f aca="false">E26*B10</f>
        <v>199.5</v>
      </c>
      <c r="J26" s="30"/>
      <c r="L26" s="27"/>
      <c r="M26" s="27"/>
      <c r="N26" s="27"/>
      <c r="O26" s="27"/>
      <c r="P26" s="27"/>
    </row>
    <row r="27" customFormat="false" ht="14.25" hidden="false" customHeight="true" outlineLevel="0" collapsed="false">
      <c r="A27" s="10"/>
      <c r="B27" s="36"/>
      <c r="C27" s="36"/>
      <c r="D27" s="36"/>
      <c r="E27" s="36"/>
      <c r="F27" s="36"/>
      <c r="J27" s="30"/>
      <c r="L27" s="27"/>
      <c r="M27" s="27"/>
      <c r="N27" s="27"/>
      <c r="O27" s="27"/>
      <c r="P27" s="27"/>
    </row>
    <row r="28" customFormat="false" ht="15.75" hidden="false" customHeight="true" outlineLevel="0" collapsed="false">
      <c r="A28" s="37" t="s">
        <v>52</v>
      </c>
      <c r="B28" s="40" t="n">
        <f aca="false">B21*B26*IFERROR(B24/B22,0)</f>
        <v>52.6238461538462</v>
      </c>
      <c r="C28" s="40" t="n">
        <f aca="false">C21*C26*IFERROR(C24/C22,0)</f>
        <v>0</v>
      </c>
      <c r="D28" s="40" t="n">
        <f aca="false">D21*D26*IFERROR(D24/D22,0)</f>
        <v>0</v>
      </c>
      <c r="E28" s="40" t="n">
        <f aca="false">B28+C28+D28</f>
        <v>52.6238461538462</v>
      </c>
      <c r="F28" s="40" t="n">
        <f aca="false">E28*B10</f>
        <v>1999.70615384615</v>
      </c>
      <c r="J28" s="30"/>
      <c r="L28" s="27"/>
      <c r="M28" s="27"/>
      <c r="N28" s="27"/>
      <c r="O28" s="27"/>
      <c r="P28" s="27"/>
    </row>
    <row r="29" customFormat="false" ht="14.25" hidden="false" customHeight="true" outlineLevel="0" collapsed="false">
      <c r="A29" s="10"/>
      <c r="B29" s="36"/>
      <c r="C29" s="36"/>
      <c r="D29" s="36"/>
      <c r="E29" s="36"/>
      <c r="F29" s="36"/>
      <c r="L29" s="27"/>
      <c r="M29" s="27"/>
      <c r="N29" s="27"/>
      <c r="O29" s="27"/>
      <c r="P29" s="27"/>
    </row>
    <row r="30" customFormat="false" ht="14.25" hidden="false" customHeight="true" outlineLevel="0" collapsed="false">
      <c r="A30" s="10" t="s">
        <v>53</v>
      </c>
      <c r="B30" s="36"/>
      <c r="C30" s="36"/>
      <c r="D30" s="36" t="n">
        <f aca="false">F49</f>
        <v>6</v>
      </c>
      <c r="E30" s="36"/>
      <c r="F30" s="36"/>
      <c r="L30" s="27"/>
      <c r="M30" s="27"/>
      <c r="N30" s="27"/>
      <c r="O30" s="27"/>
      <c r="P30" s="27"/>
    </row>
    <row r="31" customFormat="false" ht="14.25" hidden="false" customHeight="true" outlineLevel="0" collapsed="false">
      <c r="A31" s="10" t="s">
        <v>54</v>
      </c>
      <c r="B31" s="36"/>
      <c r="C31" s="36"/>
      <c r="D31" s="36" t="n">
        <f aca="false">E22*D30</f>
        <v>175.5</v>
      </c>
      <c r="E31" s="10"/>
      <c r="F31" s="10"/>
      <c r="J31" s="30"/>
      <c r="K31" s="30"/>
      <c r="L31" s="27"/>
      <c r="M31" s="27"/>
      <c r="N31" s="27"/>
      <c r="O31" s="27"/>
      <c r="P31" s="27"/>
    </row>
    <row r="32" customFormat="false" ht="14.25" hidden="false" customHeight="true" outlineLevel="0" collapsed="false">
      <c r="A32" s="10" t="s">
        <v>55</v>
      </c>
      <c r="B32" s="36"/>
      <c r="C32" s="36"/>
      <c r="D32" s="36" t="n">
        <f aca="false">D31*B12</f>
        <v>1759.1418</v>
      </c>
      <c r="E32" s="10"/>
      <c r="F32" s="10"/>
      <c r="L32" s="27"/>
      <c r="M32" s="27"/>
      <c r="N32" s="27"/>
      <c r="O32" s="27"/>
      <c r="P32" s="27"/>
    </row>
    <row r="33" customFormat="false" ht="15.75" hidden="false" customHeight="true" outlineLevel="0" collapsed="false">
      <c r="A33" s="10"/>
      <c r="B33" s="36"/>
      <c r="C33" s="36"/>
      <c r="D33" s="36"/>
      <c r="E33" s="10"/>
      <c r="F33" s="41" t="s">
        <v>56</v>
      </c>
      <c r="L33" s="27"/>
      <c r="M33" s="27"/>
      <c r="N33" s="27"/>
      <c r="O33" s="27"/>
      <c r="P33" s="27"/>
    </row>
    <row r="34" customFormat="false" ht="15.75" hidden="false" customHeight="true" outlineLevel="0" collapsed="false">
      <c r="A34" s="37" t="s">
        <v>57</v>
      </c>
      <c r="B34" s="42"/>
      <c r="C34" s="42"/>
      <c r="D34" s="42" t="n">
        <f aca="false">F28+D32</f>
        <v>3758.84795384615</v>
      </c>
      <c r="E34" s="43"/>
      <c r="F34" s="44" t="n">
        <f aca="false">ROUND(D34/B11,2)</f>
        <v>341.71</v>
      </c>
      <c r="L34" s="27"/>
      <c r="M34" s="27"/>
      <c r="N34" s="27"/>
      <c r="O34" s="27"/>
      <c r="P34" s="27"/>
    </row>
    <row r="35" customFormat="false" ht="15.75" hidden="false" customHeight="true" outlineLevel="0" collapsed="false">
      <c r="A35" s="10"/>
      <c r="B35" s="10"/>
      <c r="C35" s="10"/>
      <c r="D35" s="10"/>
      <c r="E35" s="10"/>
      <c r="F35" s="10"/>
      <c r="L35" s="70"/>
      <c r="M35" s="70"/>
      <c r="N35" s="70"/>
      <c r="O35" s="70"/>
    </row>
    <row r="36" customFormat="false" ht="14.25" hidden="false" customHeight="true" outlineLevel="0" collapsed="false">
      <c r="A36" s="45" t="s">
        <v>58</v>
      </c>
      <c r="B36" s="46"/>
      <c r="C36" s="46"/>
      <c r="D36" s="46"/>
      <c r="E36" s="46"/>
      <c r="F36" s="47"/>
    </row>
    <row r="37" customFormat="false" ht="14.25" hidden="false" customHeight="true" outlineLevel="0" collapsed="false">
      <c r="A37" s="48" t="s">
        <v>59</v>
      </c>
      <c r="B37" s="49" t="s">
        <v>60</v>
      </c>
      <c r="C37" s="49" t="s">
        <v>15</v>
      </c>
      <c r="D37" s="50" t="s">
        <v>61</v>
      </c>
      <c r="E37" s="49"/>
      <c r="F37" s="51" t="s">
        <v>62</v>
      </c>
      <c r="L37" s="71"/>
      <c r="M37" s="27"/>
    </row>
    <row r="38" customFormat="false" ht="14.25" hidden="false" customHeight="true" outlineLevel="0" collapsed="false">
      <c r="A38" s="52"/>
      <c r="B38" s="53"/>
      <c r="C38" s="53"/>
      <c r="D38" s="54"/>
      <c r="E38" s="54"/>
      <c r="F38" s="55"/>
      <c r="L38" s="71"/>
      <c r="M38" s="27"/>
    </row>
    <row r="39" customFormat="false" ht="14.25" hidden="false" customHeight="true" outlineLevel="0" collapsed="false">
      <c r="A39" s="52" t="s">
        <v>63</v>
      </c>
      <c r="B39" s="56" t="n">
        <v>46321</v>
      </c>
      <c r="C39" s="56" t="n">
        <v>46325</v>
      </c>
      <c r="D39" s="57" t="n">
        <f aca="false">NETWORKDAYS(B39,C39+1)</f>
        <v>5</v>
      </c>
      <c r="E39" s="57"/>
      <c r="F39" s="58" t="n">
        <f aca="false">D39/5</f>
        <v>1</v>
      </c>
      <c r="L39" s="71"/>
      <c r="M39" s="27"/>
    </row>
    <row r="40" customFormat="false" ht="14.25" hidden="false" customHeight="true" outlineLevel="0" collapsed="false">
      <c r="A40" s="52" t="s">
        <v>64</v>
      </c>
      <c r="B40" s="56" t="n">
        <v>46374</v>
      </c>
      <c r="C40" s="56" t="n">
        <v>46388</v>
      </c>
      <c r="D40" s="57" t="n">
        <f aca="false">NETWORKDAYS(B40,C40-1)</f>
        <v>10</v>
      </c>
      <c r="E40" s="57"/>
      <c r="F40" s="58" t="n">
        <f aca="false">D40/5</f>
        <v>2</v>
      </c>
      <c r="L40" s="71"/>
      <c r="M40" s="27"/>
    </row>
    <row r="41" customFormat="false" ht="14.25" hidden="false" customHeight="true" outlineLevel="0" collapsed="false">
      <c r="A41" s="52" t="s">
        <v>63</v>
      </c>
      <c r="B41" s="56" t="n">
        <v>46426</v>
      </c>
      <c r="C41" s="56" t="n">
        <v>46430</v>
      </c>
      <c r="D41" s="57" t="n">
        <f aca="false">NETWORKDAYS(B41,C41+1)</f>
        <v>5</v>
      </c>
      <c r="E41" s="57"/>
      <c r="F41" s="58" t="n">
        <f aca="false">D41/5</f>
        <v>1</v>
      </c>
    </row>
    <row r="42" customFormat="false" ht="14.25" hidden="false" customHeight="true" outlineLevel="0" collapsed="false">
      <c r="A42" s="52" t="s">
        <v>65</v>
      </c>
      <c r="B42" s="56" t="n">
        <v>46472</v>
      </c>
      <c r="C42" s="56" t="n">
        <v>46486</v>
      </c>
      <c r="D42" s="57" t="n">
        <f aca="false">NETWORKDAYS(B42,C42-1)</f>
        <v>10</v>
      </c>
      <c r="E42" s="57"/>
      <c r="F42" s="58" t="n">
        <f aca="false">D42/5</f>
        <v>2</v>
      </c>
    </row>
    <row r="43" customFormat="false" ht="14.25" hidden="false" customHeight="true" outlineLevel="0" collapsed="false">
      <c r="A43" s="52" t="s">
        <v>63</v>
      </c>
      <c r="B43" s="56" t="n">
        <v>46538</v>
      </c>
      <c r="C43" s="56" t="n">
        <v>46542</v>
      </c>
      <c r="D43" s="57" t="n">
        <f aca="false">NETWORKDAYS(B43,C43+1)</f>
        <v>5</v>
      </c>
      <c r="E43" s="57"/>
      <c r="F43" s="58" t="n">
        <f aca="false">D43/5</f>
        <v>1</v>
      </c>
    </row>
    <row r="44" customFormat="false" ht="14.25" hidden="false" customHeight="true" outlineLevel="0" collapsed="false">
      <c r="A44" s="52" t="s">
        <v>66</v>
      </c>
      <c r="B44" s="53"/>
      <c r="C44" s="53"/>
      <c r="D44" s="54"/>
      <c r="E44" s="54"/>
      <c r="F44" s="55"/>
    </row>
    <row r="45" customFormat="false" ht="14.25" hidden="false" customHeight="true" outlineLevel="0" collapsed="false">
      <c r="A45" s="52"/>
      <c r="B45" s="54"/>
      <c r="C45" s="54"/>
      <c r="D45" s="59" t="n">
        <f aca="false">SUM(D39:D43)</f>
        <v>35</v>
      </c>
      <c r="E45" s="54"/>
      <c r="F45" s="60" t="n">
        <f aca="false">SUM(F39:F43)</f>
        <v>7</v>
      </c>
    </row>
    <row r="46" customFormat="false" ht="14.25" hidden="false" customHeight="true" outlineLevel="0" collapsed="false">
      <c r="A46" s="52"/>
      <c r="B46" s="54"/>
      <c r="C46" s="54"/>
      <c r="D46" s="54"/>
      <c r="E46" s="54"/>
      <c r="F46" s="55"/>
    </row>
    <row r="47" customFormat="false" ht="14.25" hidden="false" customHeight="true" outlineLevel="0" collapsed="false">
      <c r="A47" s="61" t="s">
        <v>67</v>
      </c>
      <c r="B47" s="56" t="n">
        <v>46377</v>
      </c>
      <c r="C47" s="56" t="n">
        <v>46381</v>
      </c>
      <c r="D47" s="57" t="n">
        <f aca="false">-NETWORKDAYS(B47,C47)</f>
        <v>-5</v>
      </c>
      <c r="E47" s="57"/>
      <c r="F47" s="58" t="n">
        <f aca="false">D47/5</f>
        <v>-1</v>
      </c>
    </row>
    <row r="48" customFormat="false" ht="14.25" hidden="false" customHeight="true" outlineLevel="0" collapsed="false">
      <c r="A48" s="61"/>
      <c r="B48" s="54"/>
      <c r="C48" s="54"/>
      <c r="D48" s="54"/>
      <c r="E48" s="54"/>
      <c r="F48" s="55"/>
    </row>
    <row r="49" customFormat="false" ht="15.75" hidden="false" customHeight="true" outlineLevel="0" collapsed="false">
      <c r="A49" s="61"/>
      <c r="B49" s="54"/>
      <c r="C49" s="54"/>
      <c r="D49" s="62" t="n">
        <f aca="false">D45+D47</f>
        <v>30</v>
      </c>
      <c r="E49" s="54"/>
      <c r="F49" s="63" t="n">
        <f aca="false">SUM(F45:F47)</f>
        <v>6</v>
      </c>
    </row>
    <row r="50" customFormat="false" ht="16.5" hidden="false" customHeight="true" outlineLevel="0" collapsed="false">
      <c r="A50" s="64"/>
      <c r="B50" s="65"/>
      <c r="C50" s="65"/>
      <c r="D50" s="65"/>
      <c r="E50" s="65"/>
      <c r="F50" s="66"/>
    </row>
  </sheetData>
  <mergeCells count="3">
    <mergeCell ref="J1:L1"/>
    <mergeCell ref="H20:K20"/>
    <mergeCell ref="H21:K21"/>
  </mergeCells>
  <conditionalFormatting sqref="H20:H21">
    <cfRule type="cellIs" priority="2" operator="notEqual" aboveAverage="0" equalAverage="0" bottom="0" percent="0" rank="0" text="" dxfId="0">
      <formula>"OK"</formula>
    </cfRule>
  </conditionalFormatting>
  <dataValidations count="2">
    <dataValidation allowBlank="true" errorStyle="stop" operator="between" showDropDown="false" showErrorMessage="true" showInputMessage="true" sqref="B21:D21" type="list">
      <formula1>"0,1,2,3,4,5"</formula1>
      <formula2>0</formula2>
    </dataValidation>
    <dataValidation allowBlank="true" errorStyle="stop" operator="between" showDropDown="false" showErrorMessage="true" showInputMessage="true" sqref="B20:D20" type="list">
      <formula1>$D$2:$D$7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C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4.25" zeroHeight="false" outlineLevelRow="0" outlineLevelCol="0"/>
  <cols>
    <col collapsed="false" customWidth="true" hidden="false" outlineLevel="0" max="1" min="1" style="1" width="25.85"/>
    <col collapsed="false" customWidth="true" hidden="false" outlineLevel="0" max="4" min="2" style="1" width="20.13"/>
    <col collapsed="false" customWidth="true" hidden="false" outlineLevel="0" max="5" min="5" style="1" width="11.12"/>
    <col collapsed="false" customWidth="true" hidden="false" outlineLevel="0" max="6" min="6" style="1" width="10.53"/>
    <col collapsed="false" customWidth="true" hidden="false" outlineLevel="0" max="12" min="12" style="1" width="10.4"/>
    <col collapsed="false" customWidth="true" hidden="false" outlineLevel="0" max="13" min="13" style="1" width="9.86"/>
    <col collapsed="false" customWidth="true" hidden="false" outlineLevel="0" max="14" min="14" style="1" width="12.26"/>
  </cols>
  <sheetData>
    <row r="1" customFormat="false" ht="15.75" hidden="false" customHeight="true" outlineLevel="0" collapsed="false">
      <c r="A1" s="2" t="s">
        <v>0</v>
      </c>
      <c r="B1" s="3" t="s">
        <v>69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J1" s="7" t="s">
        <v>8</v>
      </c>
      <c r="K1" s="7"/>
      <c r="L1" s="7"/>
      <c r="Q1" s="8"/>
      <c r="R1" s="8"/>
      <c r="XFC1" s="9"/>
    </row>
    <row r="2" customFormat="false" ht="15.75" hidden="false" customHeight="true" outlineLevel="0" collapsed="false">
      <c r="A2" s="10"/>
      <c r="B2" s="10"/>
      <c r="C2" s="11"/>
      <c r="D2" s="12" t="s">
        <v>11</v>
      </c>
      <c r="E2" s="13" t="n">
        <v>97.73</v>
      </c>
      <c r="F2" s="14" t="n">
        <f aca="false">(H2-G2)*24</f>
        <v>9.75</v>
      </c>
      <c r="G2" s="15" t="n">
        <v>0.322916666666667</v>
      </c>
      <c r="H2" s="15" t="n">
        <v>0.729166666666667</v>
      </c>
      <c r="Q2" s="67"/>
      <c r="R2" s="67"/>
    </row>
    <row r="3" customFormat="false" ht="15.75" hidden="false" customHeight="true" outlineLevel="0" collapsed="false">
      <c r="A3" s="16" t="s">
        <v>12</v>
      </c>
      <c r="B3" s="17" t="n">
        <v>46272</v>
      </c>
      <c r="C3" s="4" t="s">
        <v>2</v>
      </c>
      <c r="D3" s="12" t="s">
        <v>13</v>
      </c>
      <c r="E3" s="13" t="n">
        <v>52.61</v>
      </c>
      <c r="F3" s="14" t="n">
        <f aca="false">(H3-G3)*24</f>
        <v>5.25</v>
      </c>
      <c r="G3" s="15" t="n">
        <v>0.322916666666667</v>
      </c>
      <c r="H3" s="15" t="n">
        <v>0.541666666666667</v>
      </c>
      <c r="J3" s="18" t="n">
        <v>1</v>
      </c>
      <c r="K3" s="1" t="s">
        <v>14</v>
      </c>
      <c r="Q3" s="67"/>
      <c r="R3" s="67"/>
    </row>
    <row r="4" customFormat="false" ht="15.75" hidden="false" customHeight="true" outlineLevel="0" collapsed="false">
      <c r="A4" s="2" t="s">
        <v>15</v>
      </c>
      <c r="B4" s="17" t="n">
        <v>46588</v>
      </c>
      <c r="C4" s="4" t="s">
        <v>2</v>
      </c>
      <c r="D4" s="12" t="s">
        <v>16</v>
      </c>
      <c r="E4" s="13" t="n">
        <v>52.61</v>
      </c>
      <c r="F4" s="14" t="n">
        <f aca="false">(H4-G4)*24</f>
        <v>4.5</v>
      </c>
      <c r="G4" s="15" t="n">
        <v>0.541666666666667</v>
      </c>
      <c r="H4" s="15" t="n">
        <v>0.729166666666667</v>
      </c>
      <c r="J4" s="18" t="n">
        <v>2</v>
      </c>
      <c r="K4" s="1" t="s">
        <v>17</v>
      </c>
      <c r="Q4" s="67"/>
      <c r="R4" s="67"/>
    </row>
    <row r="5" customFormat="false" ht="15.75" hidden="false" customHeight="true" outlineLevel="0" collapsed="false">
      <c r="A5" s="10"/>
      <c r="B5" s="10"/>
      <c r="C5" s="4"/>
      <c r="D5" s="12" t="s">
        <v>18</v>
      </c>
      <c r="E5" s="13" t="n">
        <f aca="false">E3+(E2/F2)</f>
        <v>62.6335897435897</v>
      </c>
      <c r="F5" s="14" t="n">
        <f aca="false">F3+1</f>
        <v>6.25</v>
      </c>
      <c r="J5" s="18" t="n">
        <v>3</v>
      </c>
      <c r="K5" s="1" t="s">
        <v>19</v>
      </c>
      <c r="Q5" s="67"/>
      <c r="R5" s="67"/>
    </row>
    <row r="6" customFormat="false" ht="15.75" hidden="false" customHeight="true" outlineLevel="0" collapsed="false">
      <c r="A6" s="2" t="s">
        <v>20</v>
      </c>
      <c r="B6" s="19" t="n">
        <f aca="false">B21+C21+D21</f>
        <v>1</v>
      </c>
      <c r="C6" s="4"/>
      <c r="D6" s="12" t="s">
        <v>21</v>
      </c>
      <c r="E6" s="13" t="n">
        <f aca="false">E3+2*(E2/F2)</f>
        <v>72.6571794871795</v>
      </c>
      <c r="F6" s="14" t="n">
        <f aca="false">F3+2</f>
        <v>7.25</v>
      </c>
      <c r="G6" s="20"/>
      <c r="H6" s="20"/>
      <c r="J6" s="18" t="n">
        <v>4</v>
      </c>
      <c r="K6" s="1" t="s">
        <v>22</v>
      </c>
      <c r="Q6" s="67"/>
      <c r="R6" s="67"/>
    </row>
    <row r="7" customFormat="false" ht="14.25" hidden="false" customHeight="true" outlineLevel="0" collapsed="false">
      <c r="A7" s="10"/>
      <c r="B7" s="10"/>
      <c r="C7" s="4"/>
      <c r="D7" s="12" t="s">
        <v>23</v>
      </c>
      <c r="E7" s="13" t="n">
        <f aca="false">E3+3*(E2/F2)</f>
        <v>82.6807692307692</v>
      </c>
      <c r="F7" s="14" t="n">
        <f aca="false">F3+3</f>
        <v>8.25</v>
      </c>
      <c r="J7" s="18" t="n">
        <v>5</v>
      </c>
      <c r="K7" s="1" t="s">
        <v>24</v>
      </c>
      <c r="Q7" s="67"/>
      <c r="R7" s="67"/>
    </row>
    <row r="8" customFormat="false" ht="14.25" hidden="false" customHeight="true" outlineLevel="0" collapsed="false">
      <c r="A8" s="21" t="s">
        <v>25</v>
      </c>
      <c r="B8" s="22" t="n">
        <f aca="false">_xlfn.DAYS(B4-1,B3)/7</f>
        <v>45</v>
      </c>
      <c r="C8" s="4"/>
      <c r="D8" s="12" t="s">
        <v>70</v>
      </c>
      <c r="E8" s="13" t="n">
        <f aca="false">E4+2.5*(E2/F2)</f>
        <v>77.6689743589744</v>
      </c>
      <c r="F8" s="14" t="n">
        <f aca="false">F4+2.5</f>
        <v>7</v>
      </c>
      <c r="J8" s="18" t="n">
        <v>6</v>
      </c>
      <c r="K8" s="1" t="s">
        <v>26</v>
      </c>
    </row>
    <row r="9" customFormat="false" ht="14.25" hidden="false" customHeight="true" outlineLevel="0" collapsed="false">
      <c r="A9" s="21" t="s">
        <v>27</v>
      </c>
      <c r="B9" s="22" t="n">
        <f aca="false">F45</f>
        <v>7</v>
      </c>
      <c r="C9" s="4"/>
      <c r="D9" s="25"/>
      <c r="E9" s="26"/>
      <c r="F9" s="10"/>
      <c r="J9" s="18" t="n">
        <v>7</v>
      </c>
      <c r="K9" s="1" t="s">
        <v>28</v>
      </c>
    </row>
    <row r="10" customFormat="false" ht="14.25" hidden="false" customHeight="true" outlineLevel="0" collapsed="false">
      <c r="A10" s="21" t="s">
        <v>29</v>
      </c>
      <c r="B10" s="22" t="n">
        <f aca="false">B8-B9</f>
        <v>38</v>
      </c>
      <c r="C10" s="4"/>
      <c r="D10" s="25"/>
      <c r="E10" s="10"/>
      <c r="F10" s="10"/>
    </row>
    <row r="11" customFormat="false" ht="14.25" hidden="false" customHeight="true" outlineLevel="0" collapsed="false">
      <c r="A11" s="21" t="s">
        <v>30</v>
      </c>
      <c r="B11" s="21" t="n">
        <f aca="false">ROUND(SUM((B4-B3)/30),0)</f>
        <v>11</v>
      </c>
      <c r="C11" s="4"/>
      <c r="D11" s="25"/>
      <c r="E11" s="10"/>
      <c r="F11" s="10"/>
      <c r="G11" s="27"/>
      <c r="J11" s="28" t="s">
        <v>31</v>
      </c>
    </row>
    <row r="12" customFormat="false" ht="14.25" hidden="false" customHeight="true" outlineLevel="0" collapsed="false">
      <c r="A12" s="21" t="s">
        <v>32</v>
      </c>
      <c r="B12" s="29" t="n">
        <f aca="false">IFERROR(ROUND(E24/E22,4),0)</f>
        <v>11.0956</v>
      </c>
      <c r="C12" s="4"/>
      <c r="D12" s="25"/>
      <c r="E12" s="10"/>
      <c r="F12" s="10"/>
      <c r="K12" s="30"/>
    </row>
    <row r="13" customFormat="false" ht="14.25" hidden="false" customHeight="true" outlineLevel="0" collapsed="false">
      <c r="A13" s="10"/>
      <c r="B13" s="10"/>
      <c r="C13" s="11"/>
      <c r="D13" s="10"/>
      <c r="E13" s="10"/>
      <c r="F13" s="10"/>
      <c r="J13" s="18" t="s">
        <v>33</v>
      </c>
      <c r="K13" s="1" t="s">
        <v>34</v>
      </c>
    </row>
    <row r="14" customFormat="false" ht="14.25" hidden="false" customHeight="true" outlineLevel="0" collapsed="false">
      <c r="A14" s="21" t="s">
        <v>35</v>
      </c>
      <c r="B14" s="21" t="n">
        <v>30</v>
      </c>
      <c r="C14" s="11"/>
      <c r="D14" s="10"/>
      <c r="E14" s="10"/>
      <c r="F14" s="10"/>
      <c r="J14" s="18" t="s">
        <v>36</v>
      </c>
      <c r="K14" s="1" t="s">
        <v>37</v>
      </c>
    </row>
    <row r="15" customFormat="false" ht="14.25" hidden="false" customHeight="true" outlineLevel="0" collapsed="false">
      <c r="A15" s="21" t="s">
        <v>38</v>
      </c>
      <c r="B15" s="21" t="n">
        <v>4</v>
      </c>
      <c r="C15" s="11"/>
      <c r="D15" s="10"/>
      <c r="E15" s="10"/>
      <c r="F15" s="10"/>
    </row>
    <row r="16" customFormat="false" ht="14.25" hidden="false" customHeight="true" outlineLevel="0" collapsed="false">
      <c r="A16" s="21" t="s">
        <v>39</v>
      </c>
      <c r="B16" s="21" t="n">
        <v>8</v>
      </c>
      <c r="C16" s="11"/>
      <c r="D16" s="10"/>
      <c r="E16" s="10"/>
      <c r="F16" s="10"/>
      <c r="G16" s="18"/>
    </row>
    <row r="17" customFormat="false" ht="14.25" hidden="false" customHeight="true" outlineLevel="0" collapsed="false">
      <c r="A17" s="21" t="s">
        <v>40</v>
      </c>
      <c r="B17" s="29" t="n">
        <f aca="false">E23/B14</f>
        <v>0.233333333333333</v>
      </c>
      <c r="C17" s="4"/>
      <c r="D17" s="25"/>
      <c r="E17" s="10"/>
      <c r="F17" s="10"/>
      <c r="H17" s="30"/>
    </row>
    <row r="18" customFormat="false" ht="14.25" hidden="false" customHeight="true" outlineLevel="0" collapsed="false">
      <c r="A18" s="10"/>
      <c r="B18" s="10"/>
      <c r="C18" s="10"/>
      <c r="D18" s="10"/>
      <c r="E18" s="10"/>
      <c r="F18" s="10"/>
      <c r="L18" s="27"/>
      <c r="M18" s="27"/>
    </row>
    <row r="19" customFormat="false" ht="14.25" hidden="false" customHeight="true" outlineLevel="0" collapsed="false">
      <c r="A19" s="10"/>
      <c r="B19" s="31" t="s">
        <v>41</v>
      </c>
      <c r="C19" s="31" t="s">
        <v>41</v>
      </c>
      <c r="D19" s="31" t="s">
        <v>41</v>
      </c>
      <c r="E19" s="31" t="s">
        <v>42</v>
      </c>
      <c r="F19" s="31" t="s">
        <v>43</v>
      </c>
      <c r="L19" s="27"/>
    </row>
    <row r="20" customFormat="false" ht="14.25" hidden="false" customHeight="true" outlineLevel="0" collapsed="false">
      <c r="A20" s="10" t="s">
        <v>44</v>
      </c>
      <c r="B20" s="32" t="s">
        <v>70</v>
      </c>
      <c r="C20" s="32"/>
      <c r="D20" s="32"/>
      <c r="E20" s="31"/>
      <c r="F20" s="31"/>
      <c r="G20" s="33" t="s">
        <v>45</v>
      </c>
      <c r="H20" s="34" t="str">
        <f aca="false">IF(SUM(B21:D21)&gt;5,"Too many sessions, can't attend more than 5 per week","OK")</f>
        <v>OK</v>
      </c>
      <c r="I20" s="34"/>
      <c r="J20" s="34"/>
      <c r="K20" s="34"/>
      <c r="L20" s="27"/>
    </row>
    <row r="21" customFormat="false" ht="14.25" hidden="false" customHeight="true" outlineLevel="0" collapsed="false">
      <c r="A21" s="10" t="s">
        <v>46</v>
      </c>
      <c r="B21" s="35" t="n">
        <v>1</v>
      </c>
      <c r="C21" s="35"/>
      <c r="D21" s="35"/>
      <c r="E21" s="36"/>
      <c r="F21" s="36" t="n">
        <f aca="false">B10</f>
        <v>38</v>
      </c>
      <c r="G21" s="33" t="s">
        <v>45</v>
      </c>
      <c r="H21" s="34" t="str">
        <f aca="false">IF(E25&gt;30,"NEF hours must be 30 or lower","OK")</f>
        <v>OK</v>
      </c>
      <c r="I21" s="34"/>
      <c r="J21" s="34"/>
      <c r="K21" s="34"/>
      <c r="L21" s="27"/>
    </row>
    <row r="22" customFormat="false" ht="14.25" hidden="false" customHeight="true" outlineLevel="0" collapsed="false">
      <c r="A22" s="37" t="s">
        <v>47</v>
      </c>
      <c r="B22" s="38" t="n">
        <f aca="false">IFERROR(VLOOKUP(B20,$D$1:$F$8,3,FALSE()),0)</f>
        <v>7</v>
      </c>
      <c r="C22" s="38" t="n">
        <f aca="false">IFERROR(VLOOKUP(C20,$D$1:$F$8,3,FALSE()),0)</f>
        <v>0</v>
      </c>
      <c r="D22" s="38" t="n">
        <f aca="false">IFERROR(VLOOKUP(D20,$D$1:$F$8,3,FALSE()),0)</f>
        <v>0</v>
      </c>
      <c r="E22" s="39" t="n">
        <f aca="false">(B21*B22)+(C21*C22)+(D21*D22)</f>
        <v>7</v>
      </c>
      <c r="F22" s="39"/>
      <c r="K22" s="68"/>
    </row>
    <row r="23" customFormat="false" ht="14.25" hidden="false" customHeight="true" outlineLevel="0" collapsed="false">
      <c r="A23" s="10" t="s">
        <v>48</v>
      </c>
      <c r="B23" s="39" t="n">
        <f aca="false">IF(B22=0,0,(IF(AND(B$22&gt;=$B$15,B$22&lt;=$B$16),B$22,$B$16)))</f>
        <v>7</v>
      </c>
      <c r="C23" s="39" t="n">
        <f aca="false">IF(C22=0,0,(IF(AND(C$22&gt;=$B$15,C$22&lt;=$B$16),C$22,$B$16)))</f>
        <v>0</v>
      </c>
      <c r="D23" s="39" t="n">
        <f aca="false">IF(D22=0,0,(IF(AND(D$22&gt;=$B$15,D$22&lt;=$B$16),D$22,$B$16)))</f>
        <v>0</v>
      </c>
      <c r="E23" s="39" t="n">
        <f aca="false">(B21*B23)+(C21*C23)+(D21*D23)</f>
        <v>7</v>
      </c>
      <c r="F23" s="39"/>
      <c r="K23" s="68"/>
      <c r="L23" s="8"/>
      <c r="M23" s="69"/>
      <c r="N23" s="69"/>
      <c r="O23" s="8"/>
      <c r="P23" s="68"/>
    </row>
    <row r="24" customFormat="false" ht="14.25" hidden="false" customHeight="true" outlineLevel="0" collapsed="false">
      <c r="A24" s="37" t="s">
        <v>49</v>
      </c>
      <c r="B24" s="38" t="n">
        <f aca="false">IFERROR(VLOOKUP(B20,$D$1:$E$8,2,FALSE()),0)</f>
        <v>77.6689743589744</v>
      </c>
      <c r="C24" s="38" t="n">
        <f aca="false">IFERROR(VLOOKUP(C20,$D$1:$E$8,2,FALSE()),0)</f>
        <v>0</v>
      </c>
      <c r="D24" s="38" t="n">
        <f aca="false">IFERROR(VLOOKUP(D20,$D$1:$E$8,2,FALSE()),0)</f>
        <v>0</v>
      </c>
      <c r="E24" s="39" t="n">
        <f aca="false">(B21*B24)+(C21*C24)+(D21*D24)</f>
        <v>77.6689743589744</v>
      </c>
      <c r="F24" s="39"/>
      <c r="J24" s="30"/>
      <c r="L24" s="27"/>
      <c r="M24" s="27"/>
      <c r="N24" s="27"/>
      <c r="O24" s="27"/>
      <c r="P24" s="27"/>
    </row>
    <row r="25" customFormat="false" ht="14.25" hidden="false" customHeight="true" outlineLevel="0" collapsed="false">
      <c r="A25" s="10" t="s">
        <v>50</v>
      </c>
      <c r="B25" s="39" t="n">
        <f aca="false">IFERROR(IF(B$23/$B$17&gt;B$23,B$23,B$23/$B$17),0)</f>
        <v>7</v>
      </c>
      <c r="C25" s="39" t="n">
        <f aca="false">IFERROR(IF(C$23/$B$17&gt;C$23,C$23,C$23/$B$17),0)</f>
        <v>0</v>
      </c>
      <c r="D25" s="39" t="n">
        <f aca="false">IFERROR(IF(D$23/$B$17&gt;D$23,D$23,D$23/$B$17),0)</f>
        <v>0</v>
      </c>
      <c r="E25" s="39" t="n">
        <f aca="false">(B21*B25)+(C21*C25)+(D21*D25)</f>
        <v>7</v>
      </c>
      <c r="F25" s="39"/>
      <c r="L25" s="27"/>
      <c r="M25" s="27"/>
      <c r="N25" s="27"/>
      <c r="O25" s="27"/>
      <c r="P25" s="27"/>
    </row>
    <row r="26" customFormat="false" ht="14.25" hidden="false" customHeight="true" outlineLevel="0" collapsed="false">
      <c r="A26" s="10" t="s">
        <v>51</v>
      </c>
      <c r="B26" s="39" t="n">
        <f aca="false">IF((B22-B25)&gt;0.1,(B22-B25),0)</f>
        <v>0</v>
      </c>
      <c r="C26" s="39" t="n">
        <f aca="false">IF((C22-C25)&gt;0.1,(C22-C25),0)</f>
        <v>0</v>
      </c>
      <c r="D26" s="39" t="n">
        <f aca="false">IF((D22-D25)&gt;0.1,(D22-D25),0)</f>
        <v>0</v>
      </c>
      <c r="E26" s="39" t="n">
        <f aca="false">(B21*B26)+(C21*C26)+(D21*D26)</f>
        <v>0</v>
      </c>
      <c r="F26" s="39" t="n">
        <f aca="false">E26*B10</f>
        <v>0</v>
      </c>
      <c r="J26" s="30"/>
      <c r="L26" s="27"/>
      <c r="M26" s="27"/>
      <c r="N26" s="27"/>
      <c r="O26" s="27"/>
      <c r="P26" s="27"/>
    </row>
    <row r="27" customFormat="false" ht="14.25" hidden="false" customHeight="true" outlineLevel="0" collapsed="false">
      <c r="A27" s="10"/>
      <c r="B27" s="36"/>
      <c r="C27" s="36"/>
      <c r="D27" s="36"/>
      <c r="E27" s="36"/>
      <c r="F27" s="36"/>
      <c r="J27" s="30"/>
      <c r="L27" s="27"/>
      <c r="M27" s="27"/>
      <c r="N27" s="27"/>
      <c r="O27" s="27"/>
      <c r="P27" s="27"/>
    </row>
    <row r="28" customFormat="false" ht="15.75" hidden="false" customHeight="true" outlineLevel="0" collapsed="false">
      <c r="A28" s="37" t="s">
        <v>52</v>
      </c>
      <c r="B28" s="40" t="n">
        <f aca="false">B21*B26*IFERROR(B24/B22,0)</f>
        <v>0</v>
      </c>
      <c r="C28" s="40" t="n">
        <f aca="false">C21*C26*IFERROR(C24/C22,0)</f>
        <v>0</v>
      </c>
      <c r="D28" s="40" t="n">
        <f aca="false">D21*D26*IFERROR(D24/D22,0)</f>
        <v>0</v>
      </c>
      <c r="E28" s="40" t="n">
        <f aca="false">B28+C28+D28</f>
        <v>0</v>
      </c>
      <c r="F28" s="40" t="n">
        <f aca="false">E28*B10</f>
        <v>0</v>
      </c>
      <c r="J28" s="30"/>
      <c r="L28" s="27"/>
      <c r="M28" s="27"/>
      <c r="N28" s="27"/>
      <c r="O28" s="27"/>
      <c r="P28" s="27"/>
    </row>
    <row r="29" customFormat="false" ht="14.25" hidden="false" customHeight="true" outlineLevel="0" collapsed="false">
      <c r="A29" s="10"/>
      <c r="B29" s="36"/>
      <c r="C29" s="36"/>
      <c r="D29" s="36"/>
      <c r="E29" s="36"/>
      <c r="F29" s="36"/>
      <c r="L29" s="27"/>
      <c r="M29" s="27"/>
      <c r="N29" s="27"/>
      <c r="O29" s="27"/>
      <c r="P29" s="27"/>
    </row>
    <row r="30" customFormat="false" ht="14.25" hidden="false" customHeight="true" outlineLevel="0" collapsed="false">
      <c r="A30" s="10" t="s">
        <v>53</v>
      </c>
      <c r="B30" s="36"/>
      <c r="C30" s="36"/>
      <c r="D30" s="36" t="n">
        <f aca="false">F49</f>
        <v>6</v>
      </c>
      <c r="E30" s="36"/>
      <c r="F30" s="36"/>
      <c r="L30" s="27"/>
      <c r="M30" s="27"/>
      <c r="N30" s="27"/>
      <c r="O30" s="27"/>
      <c r="P30" s="27"/>
    </row>
    <row r="31" customFormat="false" ht="14.25" hidden="false" customHeight="true" outlineLevel="0" collapsed="false">
      <c r="A31" s="10" t="s">
        <v>54</v>
      </c>
      <c r="B31" s="36"/>
      <c r="C31" s="36"/>
      <c r="D31" s="36" t="n">
        <f aca="false">E22*D30</f>
        <v>42</v>
      </c>
      <c r="E31" s="10"/>
      <c r="F31" s="10"/>
      <c r="J31" s="30"/>
      <c r="K31" s="30"/>
      <c r="L31" s="27"/>
      <c r="M31" s="27"/>
      <c r="N31" s="27"/>
      <c r="O31" s="27"/>
      <c r="P31" s="27"/>
    </row>
    <row r="32" customFormat="false" ht="14.25" hidden="false" customHeight="true" outlineLevel="0" collapsed="false">
      <c r="A32" s="10" t="s">
        <v>55</v>
      </c>
      <c r="B32" s="36"/>
      <c r="C32" s="36"/>
      <c r="D32" s="36" t="n">
        <f aca="false">D31*B12</f>
        <v>466.0152</v>
      </c>
      <c r="E32" s="10"/>
      <c r="F32" s="10"/>
      <c r="L32" s="27"/>
      <c r="M32" s="27"/>
      <c r="N32" s="27"/>
      <c r="O32" s="27"/>
      <c r="P32" s="27"/>
    </row>
    <row r="33" customFormat="false" ht="15.75" hidden="false" customHeight="true" outlineLevel="0" collapsed="false">
      <c r="A33" s="10"/>
      <c r="B33" s="36"/>
      <c r="C33" s="36"/>
      <c r="D33" s="36"/>
      <c r="E33" s="10"/>
      <c r="F33" s="41" t="s">
        <v>56</v>
      </c>
      <c r="L33" s="27"/>
      <c r="M33" s="27"/>
      <c r="N33" s="27"/>
      <c r="O33" s="27"/>
      <c r="P33" s="27"/>
    </row>
    <row r="34" customFormat="false" ht="15.75" hidden="false" customHeight="true" outlineLevel="0" collapsed="false">
      <c r="A34" s="37" t="s">
        <v>57</v>
      </c>
      <c r="B34" s="42"/>
      <c r="C34" s="42"/>
      <c r="D34" s="42" t="n">
        <f aca="false">F28+D32</f>
        <v>466.0152</v>
      </c>
      <c r="E34" s="43"/>
      <c r="F34" s="44" t="n">
        <f aca="false">ROUND(D34/B11,2)</f>
        <v>42.37</v>
      </c>
      <c r="L34" s="27"/>
      <c r="M34" s="27"/>
      <c r="N34" s="27"/>
      <c r="O34" s="27"/>
      <c r="P34" s="27"/>
    </row>
    <row r="35" customFormat="false" ht="15.75" hidden="false" customHeight="true" outlineLevel="0" collapsed="false">
      <c r="A35" s="10"/>
      <c r="B35" s="10"/>
      <c r="C35" s="10"/>
      <c r="D35" s="10"/>
      <c r="E35" s="10"/>
      <c r="F35" s="10"/>
      <c r="L35" s="70"/>
      <c r="M35" s="70"/>
      <c r="N35" s="70"/>
      <c r="O35" s="70"/>
    </row>
    <row r="36" customFormat="false" ht="14.25" hidden="false" customHeight="true" outlineLevel="0" collapsed="false">
      <c r="A36" s="45" t="s">
        <v>58</v>
      </c>
      <c r="B36" s="46"/>
      <c r="C36" s="46"/>
      <c r="D36" s="46"/>
      <c r="E36" s="46"/>
      <c r="F36" s="47"/>
    </row>
    <row r="37" customFormat="false" ht="14.25" hidden="false" customHeight="true" outlineLevel="0" collapsed="false">
      <c r="A37" s="48" t="s">
        <v>59</v>
      </c>
      <c r="B37" s="49" t="s">
        <v>60</v>
      </c>
      <c r="C37" s="49" t="s">
        <v>15</v>
      </c>
      <c r="D37" s="50" t="s">
        <v>61</v>
      </c>
      <c r="E37" s="49"/>
      <c r="F37" s="51" t="s">
        <v>62</v>
      </c>
      <c r="L37" s="71"/>
      <c r="M37" s="27"/>
    </row>
    <row r="38" customFormat="false" ht="14.25" hidden="false" customHeight="true" outlineLevel="0" collapsed="false">
      <c r="A38" s="52"/>
      <c r="B38" s="53"/>
      <c r="C38" s="53"/>
      <c r="D38" s="54"/>
      <c r="E38" s="54"/>
      <c r="F38" s="55"/>
      <c r="L38" s="71"/>
      <c r="M38" s="27"/>
    </row>
    <row r="39" customFormat="false" ht="14.25" hidden="false" customHeight="true" outlineLevel="0" collapsed="false">
      <c r="A39" s="52" t="s">
        <v>63</v>
      </c>
      <c r="B39" s="56" t="n">
        <v>46321</v>
      </c>
      <c r="C39" s="56" t="n">
        <v>46325</v>
      </c>
      <c r="D39" s="57" t="n">
        <f aca="false">NETWORKDAYS(B39,C39+1)</f>
        <v>5</v>
      </c>
      <c r="E39" s="57"/>
      <c r="F39" s="58" t="n">
        <f aca="false">D39/5</f>
        <v>1</v>
      </c>
      <c r="L39" s="71"/>
      <c r="M39" s="27"/>
    </row>
    <row r="40" customFormat="false" ht="14.25" hidden="false" customHeight="true" outlineLevel="0" collapsed="false">
      <c r="A40" s="52" t="s">
        <v>64</v>
      </c>
      <c r="B40" s="56" t="n">
        <v>46374</v>
      </c>
      <c r="C40" s="56" t="n">
        <v>46388</v>
      </c>
      <c r="D40" s="57" t="n">
        <f aca="false">NETWORKDAYS(B40,C40-1)</f>
        <v>10</v>
      </c>
      <c r="E40" s="57"/>
      <c r="F40" s="58" t="n">
        <f aca="false">D40/5</f>
        <v>2</v>
      </c>
      <c r="L40" s="71"/>
      <c r="M40" s="27"/>
    </row>
    <row r="41" customFormat="false" ht="14.25" hidden="false" customHeight="true" outlineLevel="0" collapsed="false">
      <c r="A41" s="52" t="s">
        <v>63</v>
      </c>
      <c r="B41" s="56" t="n">
        <v>46426</v>
      </c>
      <c r="C41" s="56" t="n">
        <v>46430</v>
      </c>
      <c r="D41" s="57" t="n">
        <f aca="false">NETWORKDAYS(B41,C41+1)</f>
        <v>5</v>
      </c>
      <c r="E41" s="57"/>
      <c r="F41" s="58" t="n">
        <f aca="false">D41/5</f>
        <v>1</v>
      </c>
    </row>
    <row r="42" customFormat="false" ht="14.25" hidden="false" customHeight="true" outlineLevel="0" collapsed="false">
      <c r="A42" s="52" t="s">
        <v>65</v>
      </c>
      <c r="B42" s="56" t="n">
        <v>46472</v>
      </c>
      <c r="C42" s="56" t="n">
        <v>46486</v>
      </c>
      <c r="D42" s="57" t="n">
        <f aca="false">NETWORKDAYS(B42,C42-1)</f>
        <v>10</v>
      </c>
      <c r="E42" s="57"/>
      <c r="F42" s="58" t="n">
        <f aca="false">D42/5</f>
        <v>2</v>
      </c>
    </row>
    <row r="43" customFormat="false" ht="14.25" hidden="false" customHeight="true" outlineLevel="0" collapsed="false">
      <c r="A43" s="52" t="s">
        <v>63</v>
      </c>
      <c r="B43" s="56" t="n">
        <v>46538</v>
      </c>
      <c r="C43" s="56" t="n">
        <v>46542</v>
      </c>
      <c r="D43" s="57" t="n">
        <f aca="false">NETWORKDAYS(B43,C43+1)</f>
        <v>5</v>
      </c>
      <c r="E43" s="57"/>
      <c r="F43" s="58" t="n">
        <f aca="false">D43/5</f>
        <v>1</v>
      </c>
    </row>
    <row r="44" customFormat="false" ht="14.25" hidden="false" customHeight="true" outlineLevel="0" collapsed="false">
      <c r="A44" s="52" t="s">
        <v>66</v>
      </c>
      <c r="B44" s="53"/>
      <c r="C44" s="53"/>
      <c r="D44" s="54"/>
      <c r="E44" s="54"/>
      <c r="F44" s="55"/>
    </row>
    <row r="45" customFormat="false" ht="14.25" hidden="false" customHeight="true" outlineLevel="0" collapsed="false">
      <c r="A45" s="52"/>
      <c r="B45" s="54"/>
      <c r="C45" s="54"/>
      <c r="D45" s="59" t="n">
        <f aca="false">SUM(D39:D43)</f>
        <v>35</v>
      </c>
      <c r="E45" s="54"/>
      <c r="F45" s="60" t="n">
        <f aca="false">SUM(F39:F43)</f>
        <v>7</v>
      </c>
    </row>
    <row r="46" customFormat="false" ht="14.25" hidden="false" customHeight="true" outlineLevel="0" collapsed="false">
      <c r="A46" s="52"/>
      <c r="B46" s="54"/>
      <c r="C46" s="54"/>
      <c r="D46" s="54"/>
      <c r="E46" s="54"/>
      <c r="F46" s="55"/>
    </row>
    <row r="47" customFormat="false" ht="14.25" hidden="false" customHeight="true" outlineLevel="0" collapsed="false">
      <c r="A47" s="61" t="s">
        <v>67</v>
      </c>
      <c r="B47" s="56" t="n">
        <v>46377</v>
      </c>
      <c r="C47" s="56" t="n">
        <v>46381</v>
      </c>
      <c r="D47" s="57" t="n">
        <f aca="false">-NETWORKDAYS(B47,C47)</f>
        <v>-5</v>
      </c>
      <c r="E47" s="57"/>
      <c r="F47" s="58" t="n">
        <f aca="false">D47/5</f>
        <v>-1</v>
      </c>
    </row>
    <row r="48" customFormat="false" ht="14.25" hidden="false" customHeight="true" outlineLevel="0" collapsed="false">
      <c r="A48" s="61"/>
      <c r="B48" s="54"/>
      <c r="C48" s="54"/>
      <c r="D48" s="54"/>
      <c r="E48" s="54"/>
      <c r="F48" s="55"/>
    </row>
    <row r="49" customFormat="false" ht="15.75" hidden="false" customHeight="true" outlineLevel="0" collapsed="false">
      <c r="A49" s="61"/>
      <c r="B49" s="54"/>
      <c r="C49" s="54"/>
      <c r="D49" s="62" t="n">
        <f aca="false">D45+D47</f>
        <v>30</v>
      </c>
      <c r="E49" s="54"/>
      <c r="F49" s="63" t="n">
        <f aca="false">SUM(F45:F47)</f>
        <v>6</v>
      </c>
    </row>
    <row r="50" customFormat="false" ht="16.5" hidden="false" customHeight="true" outlineLevel="0" collapsed="false">
      <c r="A50" s="64"/>
      <c r="B50" s="65"/>
      <c r="C50" s="65"/>
      <c r="D50" s="65"/>
      <c r="E50" s="65"/>
      <c r="F50" s="66"/>
    </row>
  </sheetData>
  <mergeCells count="3">
    <mergeCell ref="J1:L1"/>
    <mergeCell ref="H20:K20"/>
    <mergeCell ref="H21:K21"/>
  </mergeCells>
  <dataValidations count="2">
    <dataValidation allowBlank="true" errorStyle="stop" operator="between" showDropDown="false" showErrorMessage="false" showInputMessage="false" sqref="B20:D20" type="list">
      <formula1>$D$2:$D$8</formula1>
      <formula2>0</formula2>
    </dataValidation>
    <dataValidation allowBlank="true" errorStyle="stop" operator="between" showDropDown="false" showErrorMessage="false" showInputMessage="false" sqref="B21:D21" type="list">
      <formula1>"0,1,2,3,4,5"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2015-11-26T14:14:19Z</dcterms:created>
  <dc:creator>Greg</dc:creator>
  <dc:description/>
  <dc:language>en-US</dc:language>
  <cp:lastModifiedBy>Greg Bestwick</cp:lastModifiedBy>
  <cp:lastPrinted>2019-07-24T14:46:20Z</cp:lastPrinted>
  <dcterms:modified xsi:type="dcterms:W3CDTF">2026-07-08T16:12:15Z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6656">
    <vt:lpwstr>12</vt:lpwstr>
  </property>
  <property fmtid="{D5CDD505-2E9C-101B-9397-08002B2CF9AE}" pid="3" name="ContentTypeId">
    <vt:lpwstr>0x010100D2413BE951836C4182F78B028EC542D1</vt:lpwstr>
  </property>
  <property fmtid="{D5CDD505-2E9C-101B-9397-08002B2CF9AE}" pid="4" name="MediaServiceImageTags">
    <vt:lpwstr/>
  </property>
</Properties>
</file>